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liente\Desktop\LICITAÇÃO - 2022 -2023\LICITAÇOES 2023\TOMADA DE PREÇOS - 2023\TOMADA DE PREÇOS - 03-2023 - GINASIO\"/>
    </mc:Choice>
  </mc:AlternateContent>
  <bookViews>
    <workbookView xWindow="0" yWindow="0" windowWidth="20490" windowHeight="7650" activeTab="2"/>
  </bookViews>
  <sheets>
    <sheet name="ORÇAMENTO" sheetId="1" r:id="rId1"/>
    <sheet name="PLANILHA A LICITAR" sheetId="2" r:id="rId2"/>
    <sheet name="Planilha3" sheetId="3" r:id="rId3"/>
  </sheets>
  <externalReferences>
    <externalReference r:id="rId4"/>
  </externalReferences>
  <definedNames>
    <definedName name="_xlnm._FilterDatabase" localSheetId="0" hidden="1">ORÇAMENTO!$L$15:$L$145</definedName>
    <definedName name="_xlnm._FilterDatabase" localSheetId="1" hidden="1">'PLANILHA A LICITAR'!$L$15:$L$145</definedName>
    <definedName name="ACOMPANHAMENTO" hidden="1">IF(VALUE([1]MENU!$O$4)=2,"BM","PLE")</definedName>
    <definedName name="_xlnm.Print_Area" localSheetId="0">ORÇAMENTO!$O$1:$Y$162</definedName>
    <definedName name="_xlnm.Print_Area" localSheetId="1">'PLANILHA A LICITAR'!$O$1:$Y$162</definedName>
    <definedName name="AUTOEVENTO" hidden="1">[1]CÁLCULO!$A$12</definedName>
    <definedName name="BDI.Opcao" hidden="1">[1]DADOS!$F$18</definedName>
    <definedName name="BDI.TipoObra" hidden="1">[1]BDI!$A$138:$A$146</definedName>
    <definedName name="BM.AFAcumulado" hidden="1">[1]BM!$R1</definedName>
    <definedName name="BM.AFAnterior" hidden="1">[1]BM!$Q1</definedName>
    <definedName name="BM.MaxMed" hidden="1">IF(RegimeExecucao="Global",1,[1]BM!$G1)</definedName>
    <definedName name="BM.MEDAcumulado" hidden="1">IF(COUNTIF([1]BM!$AB$13:$AM$13,BM.medicao)&gt;0,SUM(OFFSET([1]BM!$AB1,0,0,1,MATCH(BM.medicao,[1]BM!$AB$13:$AM$13,0))),0)</definedName>
    <definedName name="BM.MEDAnterior" hidden="1">IF(COUNTIF([1]BM!$AB$13:$AM$13,BM.medicao-1)&gt;0,SUM(OFFSET([1]BM!$AB1,0,0,1,MATCH(BM.medicao-1,[1]BM!$AB$13:$AM$13,0))),0)</definedName>
    <definedName name="BM.medicao" hidden="1">OFFSET([1]BM!$O$7,1,0)</definedName>
    <definedName name="BM.MinMed" hidden="1">IF(RegimeExecucao="Global",-1,-[1]BM!$G1)</definedName>
    <definedName name="CAIXA.Modo" hidden="1">[1]BM!$A$3</definedName>
    <definedName name="CÁLCULO.NúmeroDeEventos" hidden="1">IF(AUTOEVENTO&lt;&gt;"manual",MAX([1]CÁLCULO!$M$15:$M$145),MAX(OFFSET([1]EVENTOS!$C$14:$C$65,1,0)))</definedName>
    <definedName name="CÁLCULO.NúmeroDeFrentes" hidden="1">COLUMN([1]CÁLCULO!$AA$15)-COLUMN([1]CÁLCULO!$Q$15)</definedName>
    <definedName name="CÁLCULO.TotalAdmLocal" localSheetId="1" hidden="1">IF([0]!AUTOEVENTO="manual",SUMIF([1]CÁLCULO!$M$15:$M$145,1,'PLANILHA A LICITAR'!$X$15:$X$145),0)</definedName>
    <definedName name="CÁLCULO.TotalAdmLocal" hidden="1">IF(AUTOEVENTO="manual",SUMIF([1]CÁLCULO!$M$15:$M$145,1,ORÇAMENTO!$X$15:$X$145),0)</definedName>
    <definedName name="CRONO.LinhasNecessarias" localSheetId="1" hidden="1">COUNTIF([1]QCI!$B$13:$B$24,"Manual")+COUNTIF([1]QCI!$B$13:$B$24,"SemiAuto")+COUNT('PLANILHA A LICITAR'!ORÇAMENTO.ListaCrono)</definedName>
    <definedName name="CRONO.LinhasNecessarias" hidden="1">COUNTIF([1]QCI!$B$13:$B$24,"Manual")+COUNTIF([1]QCI!$B$13:$B$24,"SemiAuto")+COUNT(ORÇAMENTO.ListaCrono)</definedName>
    <definedName name="CRONO.MaxParc" hidden="1">[1]CRONO!$G1048576+[1]CRONO!A1</definedName>
    <definedName name="CRONO.NivelExibicao" hidden="1">[1]CRONO!$G$10</definedName>
    <definedName name="CRONOPLE.ValorDoEvento" hidden="1">SUMIF([1]CÁLCULO!$M$15:$M$145,[1]CRONOPLE!$B1,OFFSET([1]CÁLCULO!$AA$15:$AA$145,0,[1]CRONOPLE!A$12))</definedName>
    <definedName name="DESONERACAO" hidden="1">IF(OR(Import.Desoneracao="DESONERADO",Import.Desoneracao="SIM"),"SIM","NÃO")</definedName>
    <definedName name="EVENTOS.Lista" hidden="1">[1]EVENTOS!$C$15:OFFSET([1]EVENTOS!$C$65,-1,0)</definedName>
    <definedName name="EVENTOS.ListaValidacao" hidden="1">[1]EVENTOS!$B$15:OFFSET([1]EVENTOS!$B$65,-1,0)</definedName>
    <definedName name="Excel_BuiltIn_Database" hidden="1">TEXT(Import.DataBase,"mm-aaaa")</definedName>
    <definedName name="Import.Apelido" hidden="1">[1]DADOS!$F$16</definedName>
    <definedName name="Import.BMAFAcumulado" hidden="1">OFFSET([1]BM!$R$15,1,0):OFFSET([1]BM!$R$145,-1,0)</definedName>
    <definedName name="Import.CNPJ" hidden="1">[1]DADOS!$F$38</definedName>
    <definedName name="Import.Código" localSheetId="1" hidden="1">OFFSET('PLANILHA A LICITAR'!$Q$15,1,0):OFFSET('PLANILHA A LICITAR'!$Q$145,-1,0)</definedName>
    <definedName name="Import.Código" hidden="1">OFFSET(ORÇAMENTO!$Q$15,1,0):OFFSET(ORÇAMENTO!$Q$145,-1,0)</definedName>
    <definedName name="Import.Contrapartida" hidden="1">[1]DADOS!$F$10</definedName>
    <definedName name="Import.CPMaxPerc" hidden="1">[1]DADOS!$F$13</definedName>
    <definedName name="Import.CPMinAbsoluta" hidden="1">[1]DADOS!$F$12</definedName>
    <definedName name="Import.CPMinPerc" hidden="1">[1]DADOS!$F$11</definedName>
    <definedName name="Import.CR" hidden="1">[1]DADOS!$F$7</definedName>
    <definedName name="Import.CRONOPLE" hidden="1">OFFSET([1]CRONOPLE!$F$15,1,1):OFFSET([1]CRONOPLE!$AF$65,-1,-1)</definedName>
    <definedName name="Import.CTEF" hidden="1">[1]DADOS!$F$36</definedName>
    <definedName name="Import.CustoUnitário" localSheetId="1" hidden="1">OFFSET('PLANILHA A LICITAR'!$U$15,1,0):OFFSET('PLANILHA A LICITAR'!$U$145,-1,0)</definedName>
    <definedName name="Import.CustoUnitário" hidden="1">OFFSET(ORÇAMENTO!$U$15,1,0):OFFSET(ORÇAMENTO!$U$145,-1,0)</definedName>
    <definedName name="Import.DataBase" hidden="1">OFFSET([1]DADOS!$G$19,0,-1)</definedName>
    <definedName name="Import.DataBaseLicit" hidden="1">OFFSET([1]DADOS!$G$40,0,-1)</definedName>
    <definedName name="Import.DataInicioObra" hidden="1">[1]DADOS!$F$46</definedName>
    <definedName name="Import.DescLote" hidden="1">[1]DADOS!$F$17</definedName>
    <definedName name="Import.Descrição" localSheetId="1" hidden="1">OFFSET('PLANILHA A LICITAR'!$R$15,1,0):OFFSET('PLANILHA A LICITAR'!$R$145,-1,0)</definedName>
    <definedName name="Import.Descrição" hidden="1">OFFSET(ORÇAMENTO!$R$15,1,0):OFFSET(ORÇAMENTO!$R$145,-1,0)</definedName>
    <definedName name="Import.Desoneracao" hidden="1">OFFSET([1]DADOS!$G$18,0,-1)</definedName>
    <definedName name="Import.empresa" hidden="1">[1]DADOS!$F$37</definedName>
    <definedName name="Import.Eventos.Nomes" hidden="1">OFFSET([1]EVENTOS!$D$15,1,0):OFFSET([1]EVENTOS!$D$65,-1,0)</definedName>
    <definedName name="Import.Fonte" localSheetId="1" hidden="1">OFFSET('PLANILHA A LICITAR'!$P$15,1,0):OFFSET('PLANILHA A LICITAR'!$P$145,-1,0)</definedName>
    <definedName name="Import.Fonte" hidden="1">OFFSET(ORÇAMENTO!$P$15,1,0):OFFSET(ORÇAMENTO!$P$145,-1,0)</definedName>
    <definedName name="Import.FrenteDeObra" hidden="1">[1]CÁLCULO!$Q$12:OFFSET([1]CÁLCULO!$AA$12,0,-1)</definedName>
    <definedName name="Import.Município" hidden="1">[1]DADOS!$F$6</definedName>
    <definedName name="Import.Nível" localSheetId="1" hidden="1">OFFSET('PLANILHA A LICITAR'!$M$15,1,0):OFFSET('PLANILHA A LICITAR'!$M$145,-1,0)</definedName>
    <definedName name="Import.Nível" hidden="1">OFFSET(ORÇAMENTO!$M$15,1,0):OFFSET(ORÇAMENTO!$M$145,-1,0)</definedName>
    <definedName name="Import.OpcaoBDI" localSheetId="1" hidden="1">OFFSET('PLANILHA A LICITAR'!$V$15,1,0):OFFSET('PLANILHA A LICITAR'!$V$145,-1,0)</definedName>
    <definedName name="Import.OpcaoBDI" hidden="1">OFFSET(ORÇAMENTO!$V$15,1,0):OFFSET(ORÇAMENTO!$V$145,-1,0)</definedName>
    <definedName name="Import.ORÇAMENTO.DivRecurso" localSheetId="1" hidden="1">OFFSET('PLANILHA A LICITAR'!$Y$15,1,0):OFFSET('PLANILHA A LICITAR'!$Y$145,-1,0)</definedName>
    <definedName name="Import.ORÇAMENTO.DivRecurso" hidden="1">OFFSET(ORÇAMENTO!$Y$15,1,0):OFFSET(ORÇAMENTO!$Y$145,-1,0)</definedName>
    <definedName name="Import.ORÇAMENTO.Obs" localSheetId="1" hidden="1">'PLANILHA A LICITAR'!$O$151</definedName>
    <definedName name="Import.ORÇAMENTO.Obs" hidden="1">ORÇAMENTO!$O$151</definedName>
    <definedName name="Import.PLE" hidden="1">OFFSET([1]PLE!$G$15,1,1):OFFSET([1]PLE!$AG$65,-1,-1)</definedName>
    <definedName name="Import.PLQ" hidden="1">OFFSET([1]CÁLCULO!$P$15,1,1):OFFSET([1]CÁLCULO!$AA$145,-1,-1)</definedName>
    <definedName name="Import.PLQ.MemCalc" hidden="1">OFFSET([1]CÁLCULO!$I$15,1,0):OFFSET([1]CÁLCULO!$I$145,-1,0)</definedName>
    <definedName name="Import.POArred" localSheetId="1" hidden="1">'PLANILHA A LICITAR'!$AF$7:$AF$11</definedName>
    <definedName name="Import.POArred" hidden="1">ORÇAMENTO!$AF$7:$AF$11</definedName>
    <definedName name="Import.Proponente" hidden="1">[1]DADOS!$F$5</definedName>
    <definedName name="Import.QCI.Divisao" hidden="1">OFFSET([1]QCI!$V$13,1,0):OFFSET([1]QCI!$V$24,-1,0)</definedName>
    <definedName name="Import.QCI.ItemInv" hidden="1">OFFSET([1]QCI!$E$13,1,0):OFFSET([1]QCI!$E$24,-1,0)</definedName>
    <definedName name="Import.QCI.Qtde" hidden="1">OFFSET([1]QCI!$I$13,1,0):OFFSET([1]QCI!$I$24,-1,0)</definedName>
    <definedName name="Import.QCI.Situacao" hidden="1">OFFSET([1]QCI!$H$13,1,0):OFFSET([1]QCI!$H$24,-1,0)</definedName>
    <definedName name="Import.QCI.SubItemInv" hidden="1">OFFSET([1]QCI!$F$13,1,0):OFFSET([1]QCI!$F$24,-1,0)</definedName>
    <definedName name="Import.QCICP" hidden="1">OFFSET([1]QCI!$W$13,1,0):OFFSET([1]QCI!$W$24,-1,0)</definedName>
    <definedName name="Import.QCIDesc" hidden="1">OFFSET([1]QCI!$R$13,1,0):OFFSET([1]QCI!$R$24,-1,0)</definedName>
    <definedName name="Import.QCIInv" hidden="1">OFFSET([1]QCI!$U$13,1,0):OFFSET([1]QCI!$U$24,-1,0)</definedName>
    <definedName name="Import.QCILote" hidden="1">OFFSET([1]QCI!$T$13,1,0):OFFSET([1]QCI!$T$24,-1,0)</definedName>
    <definedName name="Import.QCIOutros" hidden="1">OFFSET([1]QCI!$X$13,1,0):OFFSET([1]QCI!$X$24,-1,0)</definedName>
    <definedName name="Import.Quantidade" localSheetId="1" hidden="1">OFFSET('PLANILHA A LICITAR'!$AJ$15,1,0):OFFSET('PLANILHA A LICITAR'!$AJ$145,-1,0)</definedName>
    <definedName name="Import.Quantidade" hidden="1">OFFSET(ORÇAMENTO!$AJ$15,1,0):OFFSET(ORÇAMENTO!$AJ$145,-1,0)</definedName>
    <definedName name="import.recurso" hidden="1">[1]DADOS!$F$4</definedName>
    <definedName name="Import.RegimeExecução" hidden="1">OFFSET([1]DADOS!$G$39,0,-1)</definedName>
    <definedName name="Import.Repasse" hidden="1">[1]DADOS!$F$9</definedName>
    <definedName name="Import.RespFiscalização" hidden="1">[1]DADOS!$F$50:$F$53</definedName>
    <definedName name="Import.RespOrçamento" hidden="1">[1]DADOS!$F$22:$F$24</definedName>
    <definedName name="Import.SICONV" hidden="1">[1]DADOS!$F$8</definedName>
    <definedName name="Import.Unidade" localSheetId="1" hidden="1">OFFSET('PLANILHA A LICITAR'!$S$15,1,0):OFFSET('PLANILHA A LICITAR'!$S$145,-1,0)</definedName>
    <definedName name="Import.Unidade" hidden="1">OFFSET(ORÇAMENTO!$S$15,1,0):OFFSET(ORÇAMENTO!$S$145,-1,0)</definedName>
    <definedName name="Import.UnitarioLicitado" localSheetId="1" hidden="1">OFFSET('PLANILHA A LICITAR'!$AL$15,1,0):OFFSET('PLANILHA A LICITAR'!$AL$145,-1,0)</definedName>
    <definedName name="Import.UnitarioLicitado" hidden="1">OFFSET(ORÇAMENTO!$AL$15,1,0):OFFSET(ORÇAMENTO!$AL$145,-1,0)</definedName>
    <definedName name="MENU.CRONO" hidden="1">OFFSET([1]CRONO!$T$11,1,0)</definedName>
    <definedName name="Objeto" hidden="1">[1]MENU!$J$1</definedName>
    <definedName name="ORÇAMENTO.BancoRef" localSheetId="1" hidden="1">'PLANILHA A LICITAR'!$F$8</definedName>
    <definedName name="ORÇAMENTO.BancoRef" hidden="1">ORÇAMENTO!$F$8</definedName>
    <definedName name="ORÇAMENTO.CodBarra" localSheetId="1" hidden="1">IF('PLANILHA A LICITAR'!ORÇAMENTO.Fonte="Sinapi",SUBSTITUTE(SUBSTITUTE('PLANILHA A LICITAR'!ORÇAMENTO.Codigo,"/00","/"),"/0","/"),'PLANILHA A LICITAR'!ORÇAMENTO.Codigo)</definedName>
    <definedName name="ORÇAMENTO.CodBarra" hidden="1">IF(ORÇAMENTO.Fonte="Sinapi",SUBSTITUTE(SUBSTITUTE(ORÇAMENTO.Codigo,"/00","/"),"/0","/"),ORÇAMENTO.Codigo)</definedName>
    <definedName name="ORÇAMENTO.Codigo" localSheetId="1" hidden="1">'PLANILHA A LICITAR'!$Q1</definedName>
    <definedName name="ORÇAMENTO.Codigo" hidden="1">ORÇAMENTO!$Q1</definedName>
    <definedName name="ORÇAMENTO.ColunaLicit" localSheetId="1" hidden="1">'PLANILHA A LICITAR'!$AL$15</definedName>
    <definedName name="ORÇAMENTO.ColunaLicit" hidden="1">ORÇAMENTO!$AL$15</definedName>
    <definedName name="ORÇAMENTO.CopyFormat1" localSheetId="1" hidden="1">'PLANILHA A LICITAR'!$P$14:$S$14</definedName>
    <definedName name="ORÇAMENTO.CopyFormat1" hidden="1">ORÇAMENTO!$P$14:$S$14</definedName>
    <definedName name="ORÇAMENTO.CopyFormat2" localSheetId="1" hidden="1">'PLANILHA A LICITAR'!$U$14:$V$14</definedName>
    <definedName name="ORÇAMENTO.CopyFormat2" hidden="1">ORÇAMENTO!$U$14:$V$14</definedName>
    <definedName name="ORÇAMENTO.CustoUnitario" localSheetId="1" hidden="1">ROUND('PLANILHA A LICITAR'!$U1,15-13*'PLANILHA A LICITAR'!$AF$8)</definedName>
    <definedName name="ORÇAMENTO.CustoUnitario" hidden="1">ROUND(ORÇAMENTO!$U1,15-13*ORÇAMENTO!$AF$8)</definedName>
    <definedName name="ORÇAMENTO.Descricao" localSheetId="1" hidden="1">'PLANILHA A LICITAR'!$R1</definedName>
    <definedName name="ORÇAMENTO.Descricao" hidden="1">ORÇAMENTO!$R1</definedName>
    <definedName name="ORÇAMENTO.Filtro" localSheetId="1" hidden="1">'PLANILHA A LICITAR'!$L$15:$L$145</definedName>
    <definedName name="ORÇAMENTO.Filtro" hidden="1">ORÇAMENTO!$L$15:$L$145</definedName>
    <definedName name="ORÇAMENTO.firstrow" localSheetId="1" hidden="1">'PLANILHA A LICITAR'!$15:$15</definedName>
    <definedName name="ORÇAMENTO.firstrow" hidden="1">ORÇAMENTO!$15:$15</definedName>
    <definedName name="ORÇAMENTO.Fonte" localSheetId="1" hidden="1">'PLANILHA A LICITAR'!$P1</definedName>
    <definedName name="ORÇAMENTO.Fonte" hidden="1">ORÇAMENTO!$P1</definedName>
    <definedName name="ORÇAMENTO.lastrow" localSheetId="1" hidden="1">'PLANILHA A LICITAR'!$145:$145</definedName>
    <definedName name="ORÇAMENTO.lastrow" hidden="1">ORÇAMENTO!$145:$145</definedName>
    <definedName name="ORÇAMENTO.LinhaPadrão" localSheetId="1" hidden="1">'PLANILHA A LICITAR'!$14:$14</definedName>
    <definedName name="ORÇAMENTO.LinhaPadrão" hidden="1">ORÇAMENTO!$14:$14</definedName>
    <definedName name="ORÇAMENTO.ListaCrono" localSheetId="1" hidden="1">OFFSET('PLANILHA A LICITAR'!$AD$15,1,0):OFFSET('PLANILHA A LICITAR'!$AD$145,-1,0)</definedName>
    <definedName name="ORÇAMENTO.ListaCrono" hidden="1">OFFSET(ORÇAMENTO!$AD$15,1,0):OFFSET(ORÇAMENTO!$AD$145,-1,0)</definedName>
    <definedName name="ORÇAMENTO.MáximoListaCrono" localSheetId="1" hidden="1">MAX('PLANILHA A LICITAR'!ORÇAMENTO.ListaCrono)</definedName>
    <definedName name="ORÇAMENTO.MáximoListaCrono" hidden="1">MAX(ORÇAMENTO.ListaCrono)</definedName>
    <definedName name="ORÇAMENTO.Nivel" localSheetId="1" hidden="1">'PLANILHA A LICITAR'!$M1</definedName>
    <definedName name="ORÇAMENTO.Nivel" hidden="1">ORÇAMENTO!$M1</definedName>
    <definedName name="ORÇAMENTO.OpcaoBDI" localSheetId="1" hidden="1">'PLANILHA A LICITAR'!$V1</definedName>
    <definedName name="ORÇAMENTO.OpcaoBDI" hidden="1">ORÇAMENTO!$V1</definedName>
    <definedName name="ORÇAMENTO.PasteFormat1" localSheetId="1" hidden="1">OFFSET('PLANILHA A LICITAR'!$P$15,1,0):OFFSET('PLANILHA A LICITAR'!$S$145,-1,0)</definedName>
    <definedName name="ORÇAMENTO.PasteFormat1" hidden="1">OFFSET(ORÇAMENTO!$P$15,1,0):OFFSET(ORÇAMENTO!$S$145,-1,0)</definedName>
    <definedName name="ORÇAMENTO.PasteFormat2" localSheetId="1" hidden="1">OFFSET('PLANILHA A LICITAR'!$U$15,1,0):OFFSET('PLANILHA A LICITAR'!$V$145,-1,0)</definedName>
    <definedName name="ORÇAMENTO.PasteFormat2" hidden="1">OFFSET(ORÇAMENTO!$U$15,1,0):OFFSET(ORÇAMENTO!$V$145,-1,0)</definedName>
    <definedName name="ORÇAMENTO.PrecoUnitarioLicitado" localSheetId="1" hidden="1">'PLANILHA A LICITAR'!$AL1</definedName>
    <definedName name="ORÇAMENTO.PrecoUnitarioLicitado" hidden="1">ORÇAMENTO!$AL1</definedName>
    <definedName name="ORÇAMENTO.QuantBM" localSheetId="1" hidden="1">'PLANILHA A LICITAR'!$AJ1</definedName>
    <definedName name="ORÇAMENTO.QuantBM" hidden="1">ORÇAMENTO!$AJ1</definedName>
    <definedName name="ORÇAMENTO.RangeQuant" localSheetId="1" hidden="1">OFFSET('PLANILHA A LICITAR'!$T$15,1,0):OFFSET('PLANILHA A LICITAR'!$T$145,-1,0)</definedName>
    <definedName name="ORÇAMENTO.RangeQuant" hidden="1">OFFSET(ORÇAMENTO!$T$15,1,0):OFFSET(ORÇAMENTO!$T$145,-1,0)</definedName>
    <definedName name="ORÇAMENTO.SumCPMANUAL" localSheetId="1" hidden="1">SUMIF('PLANILHA A LICITAR'!$Z$15:$Z$145,"CP",'PLANILHA A LICITAR'!$AA$15:$AA$145)</definedName>
    <definedName name="ORÇAMENTO.SumCPMANUAL" hidden="1">SUMIF(ORÇAMENTO!$Z$15:$Z$145,"CP",ORÇAMENTO!$AA$15:$AA$145)</definedName>
    <definedName name="ORÇAMENTO.SumINVMANUAL" localSheetId="1" hidden="1">SUMIF('PLANILHA A LICITAR'!$Z$15:$Z$145,"RP",'PLANILHA A LICITAR'!$X$15:$X$145)+SUMIF('PLANILHA A LICITAR'!$Z$15:$Z$145,"CP",'PLANILHA A LICITAR'!$X$15:$X$145)+SUMIF('PLANILHA A LICITAR'!$Z$15:$Z$145,"OU",'PLANILHA A LICITAR'!$X$15:$X$145)</definedName>
    <definedName name="ORÇAMENTO.SumINVMANUAL" hidden="1">SUMIF(ORÇAMENTO!$Z$15:$Z$145,"RP",ORÇAMENTO!$X$15:$X$145)+SUMIF(ORÇAMENTO!$Z$15:$Z$145,"CP",ORÇAMENTO!$X$15:$X$145)+SUMIF(ORÇAMENTO!$Z$15:$Z$145,"OU",ORÇAMENTO!$X$15:$X$145)</definedName>
    <definedName name="ORÇAMENTO.SumOUTROSMANUAL" localSheetId="1" hidden="1">SUMIF('PLANILHA A LICITAR'!$Z$15:$Z$145,"OU",'PLANILHA A LICITAR'!$AB$15:$AB$145)</definedName>
    <definedName name="ORÇAMENTO.SumOUTROSMANUAL" hidden="1">SUMIF(ORÇAMENTO!$Z$15:$Z$145,"OU",ORÇAMENTO!$AB$15:$AB$145)</definedName>
    <definedName name="ORÇAMENTO.SumREPASSEMANUAL" localSheetId="1" hidden="1">'PLANILHA A LICITAR'!ORÇAMENTO.SumINVMANUAL-'PLANILHA A LICITAR'!ORÇAMENTO.SumCPMANUAL-'PLANILHA A LICITAR'!ORÇAMENTO.SumOUTROSMANUAL</definedName>
    <definedName name="ORÇAMENTO.SumREPASSEMANUAL" hidden="1">ORÇAMENTO.SumINVMANUAL-ORÇAMENTO.SumCPMANUAL-ORÇAMENTO.SumOUTROSMANUAL</definedName>
    <definedName name="ORÇAMENTO.Unidade" localSheetId="1" hidden="1">'PLANILHA A LICITAR'!$S1</definedName>
    <definedName name="ORÇAMENTO.Unidade" hidden="1">ORÇAMENTO!$S1</definedName>
    <definedName name="PLE.firstrow" hidden="1">[1]PLE!$15:$15</definedName>
    <definedName name="PLE.lastrow" hidden="1">[1]PLE!$65:$65</definedName>
    <definedName name="PLE.Medicao" hidden="1">[1]PLE!$J$9</definedName>
    <definedName name="PLE.ValorDoEvento" hidden="1">SUMIF([1]CÁLCULO!$M$15:$M$145,[1]PLE!$B1,OFFSET([1]CÁLCULO!$AA$15:$AA$145,0,[1]PLE!A$12))</definedName>
    <definedName name="PO.ValoresBDI" localSheetId="1" hidden="1">OFFSET('PLANILHA A LICITAR'!$AH$15,1,0):OFFSET('PLANILHA A LICITAR'!$AH$145,-1,0)</definedName>
    <definedName name="PO.ValoresBDI" hidden="1">OFFSET(ORÇAMENTO!$AH$15,1,0):OFFSET(ORÇAMENTO!$AH$145,-1,0)</definedName>
    <definedName name="QCI.CPManual" hidden="1">ROUND([1]QCI!$W1,2)</definedName>
    <definedName name="QCI.DescManual" hidden="1">[1]QCI!$R1</definedName>
    <definedName name="QCI.Divisao" hidden="1">[1]QCI!$V1</definedName>
    <definedName name="QCI.ExisteManual" hidden="1">(COUNTIF([1]QCI!$B$13:$B$24,"Manual")+COUNTIF([1]QCI!$B$13:$B$24,"SemiAuto"))&gt;0</definedName>
    <definedName name="QCI.InvManual" hidden="1">ROUND([1]QCI!$U1,2)</definedName>
    <definedName name="QCI.ItemInvestimento" hidden="1">OFFSET([1]DADOS!$J$2,1,0,COUNTA([1]DADOS!$J:$J)-1,1)</definedName>
    <definedName name="QCI.LoteManual" hidden="1">[1]QCI!$T1</definedName>
    <definedName name="QCI.MaxCPManual" hidden="1">[1]QCI!$O1-[1]QCI!$X1</definedName>
    <definedName name="QCI.MaxOUManual" hidden="1">[1]QCI!$O1-[1]QCI!$W1</definedName>
    <definedName name="QCI.OutrosManual" hidden="1">ROUND([1]QCI!$X1,2)</definedName>
    <definedName name="QCI.SubItemInvestimento" hidden="1">OFFSET([1]DADOS!$A$2,1,MATCH([1]QCI!$E1,[1]DADOS!$2:$2,0)-1,INDEX([1]DADOS!$2:$2,MATCH([1]QCI!$E1,[1]DADOS!$2:$2,0)+1))</definedName>
    <definedName name="QCI.SumCPMANUAL" hidden="1">SUMIF([1]QCI!$B$13:$B$24,"Manual",[1]QCI!$AA$13:$AA$24)</definedName>
    <definedName name="QCI.SumINVMANUAL" hidden="1">SUMIF([1]QCI!$B$13:$B$24,"Manual",[1]QCI!$O$13:$O$24)</definedName>
    <definedName name="QCI.SumOUTROSMANUAL" hidden="1">SUMIF([1]QCI!$B$13:$B$24,"Manual",[1]QCI!$AB$13:$AB$24)</definedName>
    <definedName name="QCI.SumREPASSEMANUAL" hidden="1">QCI.SumINVMANUAL-QCI.CPManual-QCI.OutrosManual</definedName>
    <definedName name="REFERENCIA.Descricao" localSheetId="1" hidden="1">IF(ISNUMBER('PLANILHA A LICITAR'!$AF1),OFFSET(INDIRECT('PLANILHA A LICITAR'!ORÇAMENTO.BancoRef),'PLANILHA A LICITAR'!$AF1-1,3,1),'PLANILHA A LICITAR'!$AF1)</definedName>
    <definedName name="REFERENCIA.Descricao" hidden="1">IF(ISNUMBER(ORÇAMENTO!$AF1),OFFSET(INDIRECT(ORÇAMENTO.BancoRef),ORÇAMENTO!$AF1-1,3,1),ORÇAMENTO!$AF1)</definedName>
    <definedName name="REFERENCIA.Desonerado" localSheetId="1" hidden="1">IF(ISNUMBER('PLANILHA A LICITAR'!$AF1),VALUE(OFFSET(INDIRECT('PLANILHA A LICITAR'!ORÇAMENTO.BancoRef),'PLANILHA A LICITAR'!$AF1-1,5,1)),0)</definedName>
    <definedName name="REFERENCIA.Desonerado" hidden="1">IF(ISNUMBER(ORÇAMENTO!$AF1),VALUE(OFFSET(INDIRECT(ORÇAMENTO.BancoRef),ORÇAMENTO!$AF1-1,5,1)),0)</definedName>
    <definedName name="REFERENCIA.NaoDesonerado" localSheetId="1" hidden="1">IF(ISNUMBER('PLANILHA A LICITAR'!$AF1),VALUE(OFFSET(INDIRECT('PLANILHA A LICITAR'!ORÇAMENTO.BancoRef),'PLANILHA A LICITAR'!$AF1-1,6,1)),0)</definedName>
    <definedName name="REFERENCIA.NaoDesonerado" hidden="1">IF(ISNUMBER(ORÇAMENTO!$AF1),VALUE(OFFSET(INDIRECT(ORÇAMENTO.BancoRef),ORÇAMENTO!$AF1-1,6,1)),0)</definedName>
    <definedName name="REFERENCIA.Unidade" localSheetId="1" hidden="1">IF(ISNUMBER('PLANILHA A LICITAR'!$AF1),OFFSET(INDIRECT('PLANILHA A LICITAR'!ORÇAMENTO.BancoRef),'PLANILHA A LICITAR'!$AF1-1,4,1),"-")</definedName>
    <definedName name="REFERENCIA.Unidade" hidden="1">IF(ISNUMBER(ORÇAMENTO!$AF1),OFFSET(INDIRECT(ORÇAMENTO.BancoRef),ORÇAMENTO!$AF1-1,4,1),"-")</definedName>
    <definedName name="RegimeExecucao" hidden="1">IF(OR(Import.RegimeExecução="",Import.RegimeExecução="Empreitada por Preço Global",Import.RegimeExecução="Empreitada Integral"),"Global","Unitário")</definedName>
    <definedName name="RRE.MaxCPAcum" hidden="1">[1]RRE!$AD$26</definedName>
    <definedName name="RRE.MaxCPAnt" hidden="1">[1]RRE!$AC$26</definedName>
    <definedName name="RRE.MaxOUAcum" hidden="1">[1]RRE!$AD$27</definedName>
    <definedName name="RRE.MaxOUAnt" hidden="1">[1]RRE!$AC$27</definedName>
    <definedName name="RRE.Numero" hidden="1">OFFSET([1]RRE!$O$7,0,1)</definedName>
    <definedName name="RRE.VIMeta" hidden="1">[1]RRE!$L1</definedName>
    <definedName name="SENHAGT" hidden="1">"PM3CAIXA"</definedName>
    <definedName name="SomaAgrup" localSheetId="1" hidden="1">SUMIF(OFFSET('PLANILHA A LICITAR'!$C1,1,0,'PLANILHA A LICITAR'!$D1),"S",OFFSET('PLANILHA A LICITAR'!A1,1,0,'PLANILHA A LICITAR'!$D1))</definedName>
    <definedName name="SomaAgrup" hidden="1">SUMIF(OFFSET(ORÇAMENTO!$C1,1,0,ORÇAMENTO!$D1),"S",OFFSET(ORÇAMENTO!A1,1,0,ORÇAMENTO!$D1))</definedName>
    <definedName name="SomaAgrupBM" hidden="1">SUMIF(OFFSET([1]BM!$A1,1,0,[1]BM!$B1),"S",OFFSET([1]BM!A1,1,0,[1]BM!$B1))</definedName>
    <definedName name="TESTE" hidden="1">ROUND(Planilha3!$S1,15-13*Planilha3!$AD$8)</definedName>
    <definedName name="TESTE1" hidden="1">Planilha3!$AJ1</definedName>
    <definedName name="TESTE2" hidden="1">ROUND(Planilha3!$R1*Planilha3!$U1,15-13*Planilha3!$AD$11)</definedName>
    <definedName name="TESTE3" hidden="1">SUMIF(OFFSET(Planilha3!$B1,1,0,Planilha3!#REF!),"S",OFFSET(Planilha3!A1,1,0,Planilha3!#REF!))</definedName>
    <definedName name="TIPOORCAMENTO" hidden="1">IF(VALUE([1]MENU!$O$3)=2,"Licitado","Proposto")</definedName>
    <definedName name="_xlnm.Print_Titles" localSheetId="0">ORÇAMENTO!$1:$15</definedName>
    <definedName name="_xlnm.Print_Titles" localSheetId="1">'PLANILHA A LICITAR'!$1:$15</definedName>
    <definedName name="Versao" hidden="1">[1]MENU!$J$2</definedName>
    <definedName name="VTOTAL1" localSheetId="1" hidden="1">ROUND('PLANILHA A LICITAR'!$T1*'PLANILHA A LICITAR'!$W1,15-13*'PLANILHA A LICITAR'!$AF$11)</definedName>
    <definedName name="VTOTAL1" hidden="1">ROUND(ORÇAMENTO!$T1*ORÇAMENTO!$W1,15-13*ORÇAMENTO!$AF$11)</definedName>
    <definedName name="VTOTALBM" localSheetId="1" hidden="1">IF([1]BM!$I1=0,0,CHOOSE(MATCH([0]!RegimeExecucao,{"Global","Unitário"},0),ROUND(ROUND([1]BM!XFB1,15-13*[1]BM!$A$9)/100*[1]BM!$I1,15-13*'PLANILHA A LICITAR'!$AF$11),ROUND(ROUND([1]BM!XFB1,15-13*[1]BM!$A$9)*ROUND([1]BM!$H1,15-13*'PLANILHA A LICITAR'!$AF$10),15-13*'PLANILHA A LICITAR'!$AF$11)))</definedName>
    <definedName name="VTOTALBM" hidden="1">IF([1]BM!$I1=0,0,CHOOSE(MATCH(RegimeExecucao,{"Global","Unitário"},0),ROUND(ROUND([1]BM!XFB1,15-13*[1]BM!$A$9)/100*[1]BM!$I1,15-13*ORÇAMENTO!$AF$11),ROUND(ROUND([1]BM!XFB1,15-13*[1]BM!$A$9)*ROUND([1]BM!$H1,15-13*ORÇAMENTO!$AF$10),15-13*ORÇAMENTO!$AF$11)))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1" i="2" l="1"/>
  <c r="T160" i="2" a="1"/>
  <c r="T162" i="2" s="1"/>
  <c r="O158" i="2"/>
  <c r="O155" i="2"/>
  <c r="A144" i="2"/>
  <c r="A143" i="2"/>
  <c r="A142" i="2"/>
  <c r="A141" i="2"/>
  <c r="A140" i="2"/>
  <c r="A139" i="2"/>
  <c r="A138" i="2"/>
  <c r="A137" i="2"/>
  <c r="A136" i="2"/>
  <c r="A135" i="2"/>
  <c r="A134" i="2"/>
  <c r="AJ133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J33" i="2"/>
  <c r="A33" i="2"/>
  <c r="A32" i="2"/>
  <c r="A31" i="2"/>
  <c r="A30" i="2"/>
  <c r="A29" i="2"/>
  <c r="A28" i="2"/>
  <c r="A27" i="2"/>
  <c r="AJ26" i="2"/>
  <c r="A26" i="2"/>
  <c r="A25" i="2"/>
  <c r="A24" i="2"/>
  <c r="A23" i="2"/>
  <c r="A22" i="2"/>
  <c r="A21" i="2"/>
  <c r="A20" i="2"/>
  <c r="A19" i="2"/>
  <c r="A18" i="2"/>
  <c r="A17" i="2"/>
  <c r="C16" i="2"/>
  <c r="C17" i="2" s="1"/>
  <c r="A16" i="2"/>
  <c r="O15" i="2"/>
  <c r="N15" i="2"/>
  <c r="M15" i="2"/>
  <c r="C14" i="2"/>
  <c r="A14" i="2"/>
  <c r="AH13" i="2"/>
  <c r="V13" i="2"/>
  <c r="U13" i="2"/>
  <c r="F9" i="2"/>
  <c r="S8" i="2"/>
  <c r="R8" i="2"/>
  <c r="Q8" i="2"/>
  <c r="F8" i="2"/>
  <c r="X7" i="2"/>
  <c r="W7" i="2"/>
  <c r="V7" i="2"/>
  <c r="S7" i="2"/>
  <c r="R7" i="2"/>
  <c r="S5" i="2"/>
  <c r="R5" i="2"/>
  <c r="Q5" i="2"/>
  <c r="O5" i="2"/>
  <c r="R2" i="2"/>
  <c r="O161" i="1"/>
  <c r="T160" i="1" a="1"/>
  <c r="T162" i="1" s="1"/>
  <c r="O158" i="1"/>
  <c r="O155" i="1"/>
  <c r="A144" i="1"/>
  <c r="A143" i="1"/>
  <c r="A142" i="1"/>
  <c r="A141" i="1"/>
  <c r="A140" i="1"/>
  <c r="A139" i="1"/>
  <c r="A138" i="1"/>
  <c r="A137" i="1"/>
  <c r="A136" i="1"/>
  <c r="A135" i="1"/>
  <c r="A134" i="1"/>
  <c r="AJ133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J33" i="1"/>
  <c r="A33" i="1"/>
  <c r="A32" i="1"/>
  <c r="A31" i="1"/>
  <c r="A30" i="1"/>
  <c r="A29" i="1"/>
  <c r="A28" i="1"/>
  <c r="A27" i="1"/>
  <c r="AJ26" i="1"/>
  <c r="A26" i="1"/>
  <c r="A25" i="1"/>
  <c r="A24" i="1"/>
  <c r="A23" i="1"/>
  <c r="A22" i="1"/>
  <c r="A21" i="1"/>
  <c r="A20" i="1"/>
  <c r="A19" i="1"/>
  <c r="A18" i="1"/>
  <c r="A17" i="1"/>
  <c r="C16" i="1"/>
  <c r="AE16" i="1" s="1"/>
  <c r="A16" i="1"/>
  <c r="O15" i="1"/>
  <c r="N15" i="1"/>
  <c r="M15" i="1"/>
  <c r="A14" i="1"/>
  <c r="C14" i="1" s="1"/>
  <c r="AD14" i="1" s="1"/>
  <c r="AH13" i="1"/>
  <c r="V13" i="1"/>
  <c r="U13" i="1"/>
  <c r="F9" i="1"/>
  <c r="S8" i="1"/>
  <c r="R8" i="1"/>
  <c r="Q8" i="1"/>
  <c r="F8" i="1"/>
  <c r="X7" i="1"/>
  <c r="W7" i="1"/>
  <c r="V7" i="1"/>
  <c r="S7" i="1"/>
  <c r="R7" i="1"/>
  <c r="S5" i="1"/>
  <c r="R5" i="1"/>
  <c r="Q5" i="1"/>
  <c r="O5" i="1"/>
  <c r="R2" i="1"/>
  <c r="O8" i="2"/>
  <c r="O8" i="1"/>
  <c r="T160" i="2" l="1"/>
  <c r="G16" i="1"/>
  <c r="F16" i="1"/>
  <c r="W16" i="2"/>
  <c r="B16" i="1"/>
  <c r="N16" i="1"/>
  <c r="H16" i="2"/>
  <c r="AE17" i="2"/>
  <c r="G17" i="2"/>
  <c r="B17" i="2"/>
  <c r="C18" i="2" s="1"/>
  <c r="W17" i="2"/>
  <c r="N17" i="2"/>
  <c r="I17" i="2"/>
  <c r="H17" i="2"/>
  <c r="G14" i="2"/>
  <c r="T160" i="1"/>
  <c r="D14" i="2"/>
  <c r="H14" i="2"/>
  <c r="AD14" i="2"/>
  <c r="I16" i="2"/>
  <c r="N16" i="2"/>
  <c r="AE14" i="1"/>
  <c r="B14" i="1"/>
  <c r="J14" i="1"/>
  <c r="D14" i="1"/>
  <c r="N14" i="1"/>
  <c r="E14" i="2"/>
  <c r="N14" i="2"/>
  <c r="AE14" i="2"/>
  <c r="B16" i="2"/>
  <c r="F16" i="2"/>
  <c r="F17" i="2" s="1"/>
  <c r="H14" i="1"/>
  <c r="K14" i="2"/>
  <c r="E14" i="1"/>
  <c r="B14" i="2"/>
  <c r="F14" i="2"/>
  <c r="J14" i="2"/>
  <c r="G16" i="2"/>
  <c r="AE16" i="2"/>
  <c r="T161" i="2"/>
  <c r="W16" i="1"/>
  <c r="H16" i="1"/>
  <c r="I16" i="1"/>
  <c r="K14" i="1"/>
  <c r="G14" i="1"/>
  <c r="F14" i="1"/>
  <c r="C17" i="1"/>
  <c r="T161" i="1"/>
  <c r="C19" i="2" l="1"/>
  <c r="AE18" i="2"/>
  <c r="G18" i="2"/>
  <c r="W18" i="2"/>
  <c r="H18" i="2"/>
  <c r="F18" i="2"/>
  <c r="B18" i="2"/>
  <c r="N18" i="2"/>
  <c r="I18" i="2"/>
  <c r="N17" i="1"/>
  <c r="I17" i="1"/>
  <c r="W17" i="1"/>
  <c r="H17" i="1"/>
  <c r="F17" i="1"/>
  <c r="AE17" i="1"/>
  <c r="G17" i="1"/>
  <c r="B17" i="1"/>
  <c r="C18" i="1" s="1"/>
  <c r="C20" i="2" l="1"/>
  <c r="AE19" i="2"/>
  <c r="K19" i="2"/>
  <c r="G19" i="2"/>
  <c r="AD19" i="2"/>
  <c r="J19" i="2"/>
  <c r="F19" i="2"/>
  <c r="B19" i="2"/>
  <c r="D19" i="2"/>
  <c r="N19" i="2"/>
  <c r="H19" i="2"/>
  <c r="N18" i="1"/>
  <c r="I18" i="1"/>
  <c r="W18" i="1"/>
  <c r="H18" i="1"/>
  <c r="AE18" i="1"/>
  <c r="G18" i="1"/>
  <c r="C19" i="1"/>
  <c r="B18" i="1"/>
  <c r="F18" i="1"/>
  <c r="AD20" i="2" l="1"/>
  <c r="K20" i="2"/>
  <c r="G20" i="2"/>
  <c r="C21" i="2"/>
  <c r="D20" i="2"/>
  <c r="J20" i="2"/>
  <c r="F20" i="2"/>
  <c r="B20" i="2"/>
  <c r="N20" i="2"/>
  <c r="AE20" i="2"/>
  <c r="H20" i="2"/>
  <c r="N19" i="1"/>
  <c r="H19" i="1"/>
  <c r="D19" i="1"/>
  <c r="C20" i="1"/>
  <c r="J19" i="1"/>
  <c r="B19" i="1"/>
  <c r="AE19" i="1"/>
  <c r="G19" i="1"/>
  <c r="K19" i="1"/>
  <c r="AD19" i="1"/>
  <c r="F19" i="1"/>
  <c r="C22" i="2" l="1"/>
  <c r="AE21" i="2"/>
  <c r="AD21" i="2"/>
  <c r="J21" i="2"/>
  <c r="F21" i="2"/>
  <c r="B21" i="2"/>
  <c r="N21" i="2"/>
  <c r="H21" i="2"/>
  <c r="D21" i="2"/>
  <c r="K21" i="2"/>
  <c r="G21" i="2"/>
  <c r="N20" i="1"/>
  <c r="C21" i="1"/>
  <c r="AE20" i="1"/>
  <c r="H20" i="1"/>
  <c r="D20" i="1"/>
  <c r="K20" i="1"/>
  <c r="AD20" i="1"/>
  <c r="J20" i="1"/>
  <c r="B20" i="1"/>
  <c r="F20" i="1"/>
  <c r="G20" i="1"/>
  <c r="AD22" i="2" l="1"/>
  <c r="K22" i="2"/>
  <c r="G22" i="2"/>
  <c r="C23" i="2"/>
  <c r="J22" i="2"/>
  <c r="D22" i="2"/>
  <c r="F22" i="2"/>
  <c r="AE22" i="2"/>
  <c r="N22" i="2"/>
  <c r="H22" i="2"/>
  <c r="B22" i="2"/>
  <c r="N21" i="1"/>
  <c r="C22" i="1"/>
  <c r="AE21" i="1"/>
  <c r="H21" i="1"/>
  <c r="D21" i="1"/>
  <c r="AD21" i="1"/>
  <c r="K21" i="1"/>
  <c r="G21" i="1"/>
  <c r="J21" i="1"/>
  <c r="F21" i="1"/>
  <c r="B21" i="1"/>
  <c r="J23" i="2" l="1"/>
  <c r="F23" i="2"/>
  <c r="B23" i="2"/>
  <c r="N23" i="2"/>
  <c r="AD23" i="2"/>
  <c r="H23" i="2"/>
  <c r="G23" i="2"/>
  <c r="AE23" i="2"/>
  <c r="C24" i="2"/>
  <c r="K23" i="2"/>
  <c r="D23" i="2"/>
  <c r="C23" i="1"/>
  <c r="AE22" i="1"/>
  <c r="H22" i="1"/>
  <c r="D22" i="1"/>
  <c r="AD22" i="1"/>
  <c r="K22" i="1"/>
  <c r="G22" i="1"/>
  <c r="J22" i="1"/>
  <c r="F22" i="1"/>
  <c r="B22" i="1"/>
  <c r="N22" i="1"/>
  <c r="N24" i="2" l="1"/>
  <c r="C25" i="2"/>
  <c r="AE24" i="2"/>
  <c r="H24" i="2"/>
  <c r="D24" i="2"/>
  <c r="AD24" i="2"/>
  <c r="G24" i="2"/>
  <c r="F24" i="2"/>
  <c r="B24" i="2"/>
  <c r="K24" i="2"/>
  <c r="J24" i="2"/>
  <c r="AD23" i="1"/>
  <c r="K23" i="1"/>
  <c r="G23" i="1"/>
  <c r="J23" i="1"/>
  <c r="F23" i="1"/>
  <c r="B23" i="1"/>
  <c r="N23" i="1"/>
  <c r="AE23" i="1"/>
  <c r="H23" i="1"/>
  <c r="C24" i="1"/>
  <c r="D23" i="1"/>
  <c r="C26" i="2" l="1"/>
  <c r="AE25" i="2"/>
  <c r="H25" i="2"/>
  <c r="D25" i="2"/>
  <c r="AD25" i="2"/>
  <c r="K25" i="2"/>
  <c r="G25" i="2"/>
  <c r="J25" i="2"/>
  <c r="B25" i="2"/>
  <c r="F25" i="2"/>
  <c r="N25" i="2"/>
  <c r="J24" i="1"/>
  <c r="F24" i="1"/>
  <c r="B24" i="1"/>
  <c r="N24" i="1"/>
  <c r="C25" i="1"/>
  <c r="AE24" i="1"/>
  <c r="H24" i="1"/>
  <c r="D24" i="1"/>
  <c r="K24" i="1"/>
  <c r="AD24" i="1"/>
  <c r="G24" i="1"/>
  <c r="AD26" i="2" l="1"/>
  <c r="K26" i="2"/>
  <c r="G26" i="2"/>
  <c r="J26" i="2"/>
  <c r="F26" i="2"/>
  <c r="B26" i="2"/>
  <c r="C27" i="2" s="1"/>
  <c r="N26" i="2"/>
  <c r="AE26" i="2"/>
  <c r="D26" i="2"/>
  <c r="H26" i="2"/>
  <c r="N25" i="1"/>
  <c r="C26" i="1"/>
  <c r="AE25" i="1"/>
  <c r="H25" i="1"/>
  <c r="D25" i="1"/>
  <c r="AD25" i="1"/>
  <c r="K25" i="1"/>
  <c r="G25" i="1"/>
  <c r="J25" i="1"/>
  <c r="F25" i="1"/>
  <c r="B25" i="1"/>
  <c r="N27" i="2" l="1"/>
  <c r="I27" i="2"/>
  <c r="W27" i="2"/>
  <c r="H27" i="2"/>
  <c r="F27" i="2"/>
  <c r="G27" i="2"/>
  <c r="C28" i="2"/>
  <c r="B27" i="2"/>
  <c r="AE27" i="2"/>
  <c r="AE26" i="1"/>
  <c r="H26" i="1"/>
  <c r="D26" i="1"/>
  <c r="AD26" i="1"/>
  <c r="K26" i="1"/>
  <c r="G26" i="1"/>
  <c r="J26" i="1"/>
  <c r="F26" i="1"/>
  <c r="B26" i="1"/>
  <c r="C27" i="1" s="1"/>
  <c r="N26" i="1"/>
  <c r="G5" i="2"/>
  <c r="W8" i="2" s="1"/>
  <c r="N28" i="2" l="1"/>
  <c r="C29" i="2"/>
  <c r="AE28" i="2"/>
  <c r="H28" i="2"/>
  <c r="D28" i="2"/>
  <c r="AD28" i="2"/>
  <c r="G28" i="2"/>
  <c r="F28" i="2"/>
  <c r="K28" i="2"/>
  <c r="J28" i="2"/>
  <c r="B28" i="2"/>
  <c r="F5" i="1"/>
  <c r="AH140" i="1" s="1"/>
  <c r="F5" i="2"/>
  <c r="F27" i="1"/>
  <c r="B27" i="1"/>
  <c r="N27" i="1"/>
  <c r="I27" i="1"/>
  <c r="W27" i="1"/>
  <c r="H27" i="1"/>
  <c r="AE27" i="1"/>
  <c r="G27" i="1"/>
  <c r="C28" i="1"/>
  <c r="G5" i="1"/>
  <c r="W8" i="1" s="1"/>
  <c r="AH80" i="1" l="1"/>
  <c r="AN80" i="1" s="1"/>
  <c r="AH35" i="1"/>
  <c r="AN35" i="1" s="1"/>
  <c r="AH44" i="1"/>
  <c r="AH91" i="1"/>
  <c r="AH53" i="1"/>
  <c r="AH103" i="1"/>
  <c r="AH87" i="1"/>
  <c r="AH131" i="1"/>
  <c r="AN131" i="1" s="1"/>
  <c r="AH25" i="1"/>
  <c r="AH55" i="1"/>
  <c r="AN55" i="1" s="1"/>
  <c r="AH106" i="1"/>
  <c r="AH134" i="1"/>
  <c r="AN134" i="1" s="1"/>
  <c r="AH30" i="1"/>
  <c r="AN30" i="1" s="1"/>
  <c r="AH41" i="1"/>
  <c r="AN41" i="1" s="1"/>
  <c r="AH43" i="1"/>
  <c r="AH70" i="1"/>
  <c r="AH78" i="1"/>
  <c r="AH111" i="1"/>
  <c r="AH110" i="1"/>
  <c r="AH129" i="1"/>
  <c r="AH16" i="1"/>
  <c r="AN16" i="1" s="1"/>
  <c r="AH74" i="1"/>
  <c r="AN74" i="1" s="1"/>
  <c r="AH88" i="1"/>
  <c r="AH118" i="1"/>
  <c r="V8" i="1"/>
  <c r="AH33" i="1"/>
  <c r="AH63" i="1"/>
  <c r="AN63" i="1" s="1"/>
  <c r="AH66" i="1"/>
  <c r="AN66" i="1" s="1"/>
  <c r="AH93" i="1"/>
  <c r="AH92" i="1"/>
  <c r="AH120" i="1"/>
  <c r="AH138" i="1"/>
  <c r="AD16" i="1"/>
  <c r="AD17" i="1" s="1"/>
  <c r="AD18" i="1" s="1"/>
  <c r="AH17" i="1"/>
  <c r="AN17" i="1" s="1"/>
  <c r="AH37" i="1"/>
  <c r="AN37" i="1" s="1"/>
  <c r="AH49" i="1"/>
  <c r="AH34" i="1"/>
  <c r="AH19" i="1"/>
  <c r="AN19" i="1" s="1"/>
  <c r="AH45" i="1"/>
  <c r="AN45" i="1" s="1"/>
  <c r="AH31" i="1"/>
  <c r="AH47" i="1"/>
  <c r="AH42" i="1"/>
  <c r="AH61" i="1"/>
  <c r="AN61" i="1" s="1"/>
  <c r="AH79" i="1"/>
  <c r="AH51" i="1"/>
  <c r="AH69" i="1"/>
  <c r="AH99" i="1"/>
  <c r="AH56" i="1"/>
  <c r="AN56" i="1" s="1"/>
  <c r="AH76" i="1"/>
  <c r="AH67" i="1"/>
  <c r="AN67" i="1" s="1"/>
  <c r="AH81" i="1"/>
  <c r="AH90" i="1"/>
  <c r="AH84" i="1"/>
  <c r="AH104" i="1"/>
  <c r="AH95" i="1"/>
  <c r="AH108" i="1"/>
  <c r="AH112" i="1"/>
  <c r="AH96" i="1"/>
  <c r="AH109" i="1"/>
  <c r="AH122" i="1"/>
  <c r="AH115" i="1"/>
  <c r="AH124" i="1"/>
  <c r="AH127" i="1"/>
  <c r="AH136" i="1"/>
  <c r="AN136" i="1" s="1"/>
  <c r="AH135" i="1"/>
  <c r="AN135" i="1" s="1"/>
  <c r="AH139" i="1"/>
  <c r="AN139" i="1" s="1"/>
  <c r="AH18" i="1"/>
  <c r="AN18" i="1" s="1"/>
  <c r="AH39" i="1"/>
  <c r="AN39" i="1" s="1"/>
  <c r="AH59" i="1"/>
  <c r="AH36" i="1"/>
  <c r="AN36" i="1" s="1"/>
  <c r="AH20" i="1"/>
  <c r="AH46" i="1"/>
  <c r="AN46" i="1" s="1"/>
  <c r="AH32" i="1"/>
  <c r="AN32" i="1" s="1"/>
  <c r="AH22" i="1"/>
  <c r="AH48" i="1"/>
  <c r="AH68" i="1"/>
  <c r="AH23" i="1"/>
  <c r="AH60" i="1"/>
  <c r="AN60" i="1" s="1"/>
  <c r="AH75" i="1"/>
  <c r="AH50" i="1"/>
  <c r="AH57" i="1"/>
  <c r="AN57" i="1" s="1"/>
  <c r="AH58" i="1"/>
  <c r="AH71" i="1"/>
  <c r="AH77" i="1"/>
  <c r="AN77" i="1" s="1"/>
  <c r="AH94" i="1"/>
  <c r="AH85" i="1"/>
  <c r="AN85" i="1" s="1"/>
  <c r="AH105" i="1"/>
  <c r="AN105" i="1" s="1"/>
  <c r="AH100" i="1"/>
  <c r="AN100" i="1" s="1"/>
  <c r="AH102" i="1"/>
  <c r="AH117" i="1"/>
  <c r="AH97" i="1"/>
  <c r="AN97" i="1" s="1"/>
  <c r="AH113" i="1"/>
  <c r="AH126" i="1"/>
  <c r="AH119" i="1"/>
  <c r="AH125" i="1"/>
  <c r="AH132" i="1"/>
  <c r="AH141" i="1"/>
  <c r="AH137" i="1"/>
  <c r="AH144" i="1"/>
  <c r="AH29" i="1"/>
  <c r="AN29" i="1" s="1"/>
  <c r="AH14" i="1"/>
  <c r="W14" i="1" s="1"/>
  <c r="AH28" i="1"/>
  <c r="AH38" i="1"/>
  <c r="AN38" i="1" s="1"/>
  <c r="AH24" i="1"/>
  <c r="AH21" i="1"/>
  <c r="AH40" i="1"/>
  <c r="AH26" i="1"/>
  <c r="AH52" i="1"/>
  <c r="AH73" i="1"/>
  <c r="AH27" i="1"/>
  <c r="AN27" i="1" s="1"/>
  <c r="AH62" i="1"/>
  <c r="AH82" i="1"/>
  <c r="AN82" i="1" s="1"/>
  <c r="AH54" i="1"/>
  <c r="AH64" i="1"/>
  <c r="AH65" i="1"/>
  <c r="AH72" i="1"/>
  <c r="AN72" i="1" s="1"/>
  <c r="AH83" i="1"/>
  <c r="AH116" i="1"/>
  <c r="AH89" i="1"/>
  <c r="AH86" i="1"/>
  <c r="AH101" i="1"/>
  <c r="AH107" i="1"/>
  <c r="AH121" i="1"/>
  <c r="AH98" i="1"/>
  <c r="AN98" i="1" s="1"/>
  <c r="AH114" i="1"/>
  <c r="AN114" i="1" s="1"/>
  <c r="AH133" i="1"/>
  <c r="AH123" i="1"/>
  <c r="AH130" i="1"/>
  <c r="AH128" i="1"/>
  <c r="AH142" i="1"/>
  <c r="AN142" i="1" s="1"/>
  <c r="AH143" i="1"/>
  <c r="AH140" i="2"/>
  <c r="AH144" i="2"/>
  <c r="AH139" i="2"/>
  <c r="AN139" i="2" s="1"/>
  <c r="AH138" i="2"/>
  <c r="AH143" i="2"/>
  <c r="AH137" i="2"/>
  <c r="AH135" i="2"/>
  <c r="AN135" i="2" s="1"/>
  <c r="AH129" i="2"/>
  <c r="AH125" i="2"/>
  <c r="AH142" i="2"/>
  <c r="AN142" i="2" s="1"/>
  <c r="AH141" i="2"/>
  <c r="AH136" i="2"/>
  <c r="AN136" i="2" s="1"/>
  <c r="AH134" i="2"/>
  <c r="AN134" i="2" s="1"/>
  <c r="AH132" i="2"/>
  <c r="AH127" i="2"/>
  <c r="AH131" i="2"/>
  <c r="AN131" i="2" s="1"/>
  <c r="AH133" i="2"/>
  <c r="AH128" i="2"/>
  <c r="AH124" i="2"/>
  <c r="AH123" i="2"/>
  <c r="AH119" i="2"/>
  <c r="AH126" i="2"/>
  <c r="AH122" i="2"/>
  <c r="AH118" i="2"/>
  <c r="AH117" i="2"/>
  <c r="AH112" i="2"/>
  <c r="AH108" i="2"/>
  <c r="AH103" i="2"/>
  <c r="AH116" i="2"/>
  <c r="AH111" i="2"/>
  <c r="AH107" i="2"/>
  <c r="AH102" i="2"/>
  <c r="AH130" i="2"/>
  <c r="AH121" i="2"/>
  <c r="AH120" i="2"/>
  <c r="AH115" i="2"/>
  <c r="AH110" i="2"/>
  <c r="AH106" i="2"/>
  <c r="AH114" i="2"/>
  <c r="AN114" i="2" s="1"/>
  <c r="AH113" i="2"/>
  <c r="AH109" i="2"/>
  <c r="AH105" i="2"/>
  <c r="AN105" i="2" s="1"/>
  <c r="AH104" i="2"/>
  <c r="AH101" i="2"/>
  <c r="AH100" i="2"/>
  <c r="AN100" i="2" s="1"/>
  <c r="AH98" i="2"/>
  <c r="AN98" i="2" s="1"/>
  <c r="AH97" i="2"/>
  <c r="AN97" i="2" s="1"/>
  <c r="AH96" i="2"/>
  <c r="AH92" i="2"/>
  <c r="AH99" i="2"/>
  <c r="AH95" i="2"/>
  <c r="AH91" i="2"/>
  <c r="AH87" i="2"/>
  <c r="AH82" i="2"/>
  <c r="AN82" i="2" s="1"/>
  <c r="AH81" i="2"/>
  <c r="AH94" i="2"/>
  <c r="AH90" i="2"/>
  <c r="AH86" i="2"/>
  <c r="AH93" i="2"/>
  <c r="AH89" i="2"/>
  <c r="AH88" i="2"/>
  <c r="AH85" i="2"/>
  <c r="AN85" i="2" s="1"/>
  <c r="AH77" i="2"/>
  <c r="AN77" i="2" s="1"/>
  <c r="AH76" i="2"/>
  <c r="AH70" i="2"/>
  <c r="AH64" i="2"/>
  <c r="AH75" i="2"/>
  <c r="AH69" i="2"/>
  <c r="AH63" i="2"/>
  <c r="AN63" i="2" s="1"/>
  <c r="AH62" i="2"/>
  <c r="AH84" i="2"/>
  <c r="AH83" i="2"/>
  <c r="AH80" i="2"/>
  <c r="AN80" i="2" s="1"/>
  <c r="AH79" i="2"/>
  <c r="AH74" i="2"/>
  <c r="AN74" i="2" s="1"/>
  <c r="AH73" i="2"/>
  <c r="AH68" i="2"/>
  <c r="AH72" i="2"/>
  <c r="AN72" i="2" s="1"/>
  <c r="AH71" i="2"/>
  <c r="AH67" i="2"/>
  <c r="AN67" i="2" s="1"/>
  <c r="AH66" i="2"/>
  <c r="AN66" i="2" s="1"/>
  <c r="AH65" i="2"/>
  <c r="AH53" i="2"/>
  <c r="AH49" i="2"/>
  <c r="AH43" i="2"/>
  <c r="AH78" i="2"/>
  <c r="AH61" i="2"/>
  <c r="AN61" i="2" s="1"/>
  <c r="AH60" i="2"/>
  <c r="AN60" i="2" s="1"/>
  <c r="AH59" i="2"/>
  <c r="AH52" i="2"/>
  <c r="AH48" i="2"/>
  <c r="AH42" i="2"/>
  <c r="AH33" i="2"/>
  <c r="AH26" i="2"/>
  <c r="AH22" i="2"/>
  <c r="AH58" i="2"/>
  <c r="AH51" i="2"/>
  <c r="AH47" i="2"/>
  <c r="AH41" i="2"/>
  <c r="AN41" i="2" s="1"/>
  <c r="AH40" i="2"/>
  <c r="AH32" i="2"/>
  <c r="AN32" i="2" s="1"/>
  <c r="AH31" i="2"/>
  <c r="AH25" i="2"/>
  <c r="AH57" i="2"/>
  <c r="AN57" i="2" s="1"/>
  <c r="AH56" i="2"/>
  <c r="AN56" i="2" s="1"/>
  <c r="AH55" i="2"/>
  <c r="AN55" i="2" s="1"/>
  <c r="AH54" i="2"/>
  <c r="AH50" i="2"/>
  <c r="AH46" i="2"/>
  <c r="AN46" i="2" s="1"/>
  <c r="AH45" i="2"/>
  <c r="AN45" i="2" s="1"/>
  <c r="AH44" i="2"/>
  <c r="AH29" i="2"/>
  <c r="AN29" i="2" s="1"/>
  <c r="AH20" i="2"/>
  <c r="AH36" i="2"/>
  <c r="AN36" i="2" s="1"/>
  <c r="AH21" i="2"/>
  <c r="AH19" i="2"/>
  <c r="AH18" i="2"/>
  <c r="AN18" i="2" s="1"/>
  <c r="AH17" i="2"/>
  <c r="AN17" i="2" s="1"/>
  <c r="AH16" i="2"/>
  <c r="AN16" i="2" s="1"/>
  <c r="V8" i="2"/>
  <c r="AH39" i="2"/>
  <c r="AN39" i="2" s="1"/>
  <c r="AH37" i="2"/>
  <c r="AN37" i="2" s="1"/>
  <c r="AH34" i="2"/>
  <c r="AH28" i="2"/>
  <c r="AH27" i="2"/>
  <c r="AN27" i="2" s="1"/>
  <c r="AH24" i="2"/>
  <c r="AH23" i="2"/>
  <c r="AH14" i="2"/>
  <c r="AH38" i="2"/>
  <c r="AN38" i="2" s="1"/>
  <c r="AH35" i="2"/>
  <c r="AN35" i="2" s="1"/>
  <c r="AH30" i="2"/>
  <c r="AN30" i="2" s="1"/>
  <c r="W29" i="2"/>
  <c r="H29" i="2"/>
  <c r="D29" i="2"/>
  <c r="AE29" i="2"/>
  <c r="K29" i="2"/>
  <c r="G29" i="2"/>
  <c r="J29" i="2"/>
  <c r="B29" i="2"/>
  <c r="C30" i="2" s="1"/>
  <c r="AD29" i="2"/>
  <c r="F29" i="2"/>
  <c r="N29" i="2"/>
  <c r="H5" i="1"/>
  <c r="X8" i="1" s="1"/>
  <c r="H5" i="2"/>
  <c r="X8" i="2" s="1"/>
  <c r="T14" i="1"/>
  <c r="T14" i="2"/>
  <c r="AD16" i="2"/>
  <c r="E16" i="2"/>
  <c r="W19" i="1"/>
  <c r="E16" i="1"/>
  <c r="J28" i="1"/>
  <c r="F28" i="1"/>
  <c r="B28" i="1"/>
  <c r="N28" i="1"/>
  <c r="C29" i="1"/>
  <c r="AE28" i="1"/>
  <c r="H28" i="1"/>
  <c r="D28" i="1"/>
  <c r="AD28" i="1"/>
  <c r="G28" i="1"/>
  <c r="K28" i="1"/>
  <c r="X14" i="1" l="1"/>
  <c r="I14" i="1" s="1"/>
  <c r="AN14" i="1"/>
  <c r="W30" i="2"/>
  <c r="H30" i="2"/>
  <c r="C31" i="2"/>
  <c r="AE30" i="2"/>
  <c r="G30" i="2"/>
  <c r="F30" i="2"/>
  <c r="N30" i="2"/>
  <c r="B30" i="2"/>
  <c r="I30" i="2"/>
  <c r="AD17" i="2"/>
  <c r="AD18" i="2" s="1"/>
  <c r="AN14" i="2"/>
  <c r="W14" i="2"/>
  <c r="X14" i="2" s="1"/>
  <c r="AN19" i="2"/>
  <c r="W19" i="2"/>
  <c r="T16" i="1"/>
  <c r="T16" i="2"/>
  <c r="E17" i="2"/>
  <c r="E17" i="1"/>
  <c r="AD27" i="1"/>
  <c r="N29" i="1"/>
  <c r="W29" i="1"/>
  <c r="H29" i="1"/>
  <c r="D29" i="1"/>
  <c r="AE29" i="1"/>
  <c r="K29" i="1"/>
  <c r="G29" i="1"/>
  <c r="AD29" i="1"/>
  <c r="F29" i="1"/>
  <c r="J29" i="1"/>
  <c r="B29" i="1"/>
  <c r="C30" i="1" s="1"/>
  <c r="T18" i="2"/>
  <c r="T17" i="2"/>
  <c r="AM14" i="1" l="1"/>
  <c r="Z14" i="1"/>
  <c r="AA14" i="1" s="1"/>
  <c r="L14" i="1"/>
  <c r="O14" i="1" s="1"/>
  <c r="AM14" i="2"/>
  <c r="L14" i="2"/>
  <c r="O14" i="2" s="1"/>
  <c r="Z14" i="2"/>
  <c r="I14" i="2"/>
  <c r="E18" i="2"/>
  <c r="AD27" i="2"/>
  <c r="AD30" i="2" s="1"/>
  <c r="K27" i="2"/>
  <c r="N31" i="2"/>
  <c r="AE31" i="2"/>
  <c r="H31" i="2"/>
  <c r="D31" i="2"/>
  <c r="AD31" i="2"/>
  <c r="K31" i="2"/>
  <c r="G31" i="2"/>
  <c r="F31" i="2"/>
  <c r="B31" i="2"/>
  <c r="C32" i="2" s="1"/>
  <c r="J31" i="2"/>
  <c r="N30" i="1"/>
  <c r="I30" i="1"/>
  <c r="W30" i="1"/>
  <c r="H30" i="1"/>
  <c r="C31" i="1"/>
  <c r="AE30" i="1"/>
  <c r="G30" i="1"/>
  <c r="K27" i="1" s="1"/>
  <c r="AD30" i="1"/>
  <c r="F30" i="1"/>
  <c r="B30" i="1"/>
  <c r="T18" i="1"/>
  <c r="T17" i="1"/>
  <c r="E18" i="1"/>
  <c r="AB14" i="1" l="1"/>
  <c r="E19" i="2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W32" i="2"/>
  <c r="H32" i="2"/>
  <c r="C33" i="2"/>
  <c r="AE32" i="2"/>
  <c r="G32" i="2"/>
  <c r="K30" i="2" s="1"/>
  <c r="AD32" i="2"/>
  <c r="F32" i="2"/>
  <c r="B32" i="2"/>
  <c r="I32" i="2"/>
  <c r="N32" i="2"/>
  <c r="AB14" i="2"/>
  <c r="AA14" i="2"/>
  <c r="E19" i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N31" i="1"/>
  <c r="AE31" i="1"/>
  <c r="H31" i="1"/>
  <c r="D31" i="1"/>
  <c r="AD31" i="1"/>
  <c r="K31" i="1"/>
  <c r="G31" i="1"/>
  <c r="F31" i="1"/>
  <c r="B31" i="1"/>
  <c r="C32" i="1" s="1"/>
  <c r="J31" i="1"/>
  <c r="AE33" i="2" l="1"/>
  <c r="H33" i="2"/>
  <c r="D33" i="2"/>
  <c r="AD33" i="2"/>
  <c r="K33" i="2"/>
  <c r="G33" i="2"/>
  <c r="J33" i="2"/>
  <c r="F33" i="2"/>
  <c r="B33" i="2"/>
  <c r="N33" i="2"/>
  <c r="C34" i="2"/>
  <c r="E33" i="2"/>
  <c r="W32" i="1"/>
  <c r="H32" i="1"/>
  <c r="C33" i="1"/>
  <c r="AE32" i="1"/>
  <c r="G32" i="1"/>
  <c r="K30" i="1" s="1"/>
  <c r="AD32" i="1"/>
  <c r="F32" i="1"/>
  <c r="B32" i="1"/>
  <c r="I32" i="1"/>
  <c r="N32" i="1"/>
  <c r="E32" i="1"/>
  <c r="J34" i="2" l="1"/>
  <c r="F34" i="2"/>
  <c r="B34" i="2"/>
  <c r="C35" i="2" s="1"/>
  <c r="N34" i="2"/>
  <c r="E34" i="2"/>
  <c r="AE34" i="2"/>
  <c r="H34" i="2"/>
  <c r="D34" i="2"/>
  <c r="AD34" i="2"/>
  <c r="G34" i="2"/>
  <c r="K34" i="2"/>
  <c r="AE33" i="1"/>
  <c r="H33" i="1"/>
  <c r="D33" i="1"/>
  <c r="AD33" i="1"/>
  <c r="K33" i="1"/>
  <c r="G33" i="1"/>
  <c r="J33" i="1"/>
  <c r="F33" i="1"/>
  <c r="B33" i="1"/>
  <c r="N33" i="1"/>
  <c r="C34" i="1"/>
  <c r="E33" i="1"/>
  <c r="AF35" i="2"/>
  <c r="AG35" i="2" l="1"/>
  <c r="N35" i="2"/>
  <c r="I35" i="2"/>
  <c r="E35" i="2"/>
  <c r="W35" i="2"/>
  <c r="H35" i="2"/>
  <c r="C36" i="2"/>
  <c r="AE35" i="2"/>
  <c r="G35" i="2"/>
  <c r="AD35" i="2"/>
  <c r="F35" i="2"/>
  <c r="B35" i="2"/>
  <c r="J34" i="1"/>
  <c r="F34" i="1"/>
  <c r="B34" i="1"/>
  <c r="C35" i="1" s="1"/>
  <c r="N34" i="1"/>
  <c r="E34" i="1"/>
  <c r="AE34" i="1"/>
  <c r="H34" i="1"/>
  <c r="D34" i="1"/>
  <c r="AD34" i="1"/>
  <c r="G34" i="1"/>
  <c r="K34" i="1"/>
  <c r="AF35" i="1"/>
  <c r="N36" i="2" l="1"/>
  <c r="E36" i="2"/>
  <c r="W36" i="2"/>
  <c r="H36" i="2"/>
  <c r="D36" i="2"/>
  <c r="C37" i="2"/>
  <c r="AE36" i="2"/>
  <c r="K36" i="2"/>
  <c r="G36" i="2"/>
  <c r="AD36" i="2"/>
  <c r="F36" i="2"/>
  <c r="B36" i="2"/>
  <c r="J36" i="2"/>
  <c r="K32" i="2"/>
  <c r="AG35" i="1"/>
  <c r="N35" i="1"/>
  <c r="I35" i="1"/>
  <c r="E35" i="1"/>
  <c r="W35" i="1"/>
  <c r="H35" i="1"/>
  <c r="C36" i="1"/>
  <c r="AE35" i="1"/>
  <c r="G35" i="1"/>
  <c r="K32" i="1" s="1"/>
  <c r="AD35" i="1"/>
  <c r="F35" i="1"/>
  <c r="B35" i="1"/>
  <c r="N37" i="2" l="1"/>
  <c r="E37" i="2"/>
  <c r="W37" i="2"/>
  <c r="H37" i="2"/>
  <c r="D37" i="2"/>
  <c r="C38" i="2"/>
  <c r="AE37" i="2"/>
  <c r="K37" i="2"/>
  <c r="G37" i="2"/>
  <c r="AD37" i="2"/>
  <c r="F37" i="2"/>
  <c r="J37" i="2"/>
  <c r="B37" i="2"/>
  <c r="N36" i="1"/>
  <c r="E36" i="1"/>
  <c r="W36" i="1"/>
  <c r="H36" i="1"/>
  <c r="D36" i="1"/>
  <c r="C37" i="1"/>
  <c r="AE36" i="1"/>
  <c r="K36" i="1"/>
  <c r="G36" i="1"/>
  <c r="AD36" i="1"/>
  <c r="F36" i="1"/>
  <c r="B36" i="1"/>
  <c r="J36" i="1"/>
  <c r="N38" i="2" l="1"/>
  <c r="E38" i="2"/>
  <c r="W38" i="2"/>
  <c r="H38" i="2"/>
  <c r="D38" i="2"/>
  <c r="AE38" i="2"/>
  <c r="K38" i="2"/>
  <c r="G38" i="2"/>
  <c r="AD38" i="2"/>
  <c r="F38" i="2"/>
  <c r="J38" i="2"/>
  <c r="B38" i="2"/>
  <c r="C39" i="2" s="1"/>
  <c r="N37" i="1"/>
  <c r="E37" i="1"/>
  <c r="W37" i="1"/>
  <c r="H37" i="1"/>
  <c r="D37" i="1"/>
  <c r="C38" i="1"/>
  <c r="AE37" i="1"/>
  <c r="K37" i="1"/>
  <c r="G37" i="1"/>
  <c r="AD37" i="1"/>
  <c r="F37" i="1"/>
  <c r="J37" i="1"/>
  <c r="B37" i="1"/>
  <c r="AF39" i="2"/>
  <c r="AG39" i="2" l="1"/>
  <c r="N39" i="2"/>
  <c r="I39" i="2"/>
  <c r="E39" i="2"/>
  <c r="W39" i="2"/>
  <c r="H39" i="2"/>
  <c r="C40" i="2"/>
  <c r="AE39" i="2"/>
  <c r="G39" i="2"/>
  <c r="AD39" i="2"/>
  <c r="F39" i="2"/>
  <c r="B39" i="2"/>
  <c r="N38" i="1"/>
  <c r="E38" i="1"/>
  <c r="W38" i="1"/>
  <c r="H38" i="1"/>
  <c r="D38" i="1"/>
  <c r="AE38" i="1"/>
  <c r="K38" i="1"/>
  <c r="G38" i="1"/>
  <c r="AD38" i="1"/>
  <c r="F38" i="1"/>
  <c r="B38" i="1"/>
  <c r="C39" i="1" s="1"/>
  <c r="J38" i="1"/>
  <c r="AF39" i="1"/>
  <c r="N40" i="2" l="1"/>
  <c r="E40" i="2"/>
  <c r="AE40" i="2"/>
  <c r="H40" i="2"/>
  <c r="D40" i="2"/>
  <c r="AD40" i="2"/>
  <c r="K40" i="2"/>
  <c r="G40" i="2"/>
  <c r="F40" i="2"/>
  <c r="B40" i="2"/>
  <c r="C41" i="2" s="1"/>
  <c r="J40" i="2"/>
  <c r="AG39" i="1"/>
  <c r="N39" i="1"/>
  <c r="I39" i="1"/>
  <c r="E39" i="1"/>
  <c r="W39" i="1"/>
  <c r="H39" i="1"/>
  <c r="C40" i="1"/>
  <c r="AE39" i="1"/>
  <c r="G39" i="1"/>
  <c r="K35" i="1" s="1"/>
  <c r="AD39" i="1"/>
  <c r="F39" i="1"/>
  <c r="B39" i="1"/>
  <c r="AF41" i="2"/>
  <c r="AG41" i="2" l="1"/>
  <c r="W41" i="2"/>
  <c r="H41" i="2"/>
  <c r="C42" i="2"/>
  <c r="AE41" i="2"/>
  <c r="G41" i="2"/>
  <c r="K39" i="2" s="1"/>
  <c r="AD41" i="2"/>
  <c r="F41" i="2"/>
  <c r="B41" i="2"/>
  <c r="I41" i="2"/>
  <c r="E41" i="2"/>
  <c r="N41" i="2"/>
  <c r="N40" i="1"/>
  <c r="E40" i="1"/>
  <c r="AE40" i="1"/>
  <c r="H40" i="1"/>
  <c r="D40" i="1"/>
  <c r="AD40" i="1"/>
  <c r="K40" i="1"/>
  <c r="G40" i="1"/>
  <c r="F40" i="1"/>
  <c r="B40" i="1"/>
  <c r="C41" i="1" s="1"/>
  <c r="J40" i="1"/>
  <c r="AF41" i="1"/>
  <c r="T19" i="1" l="1"/>
  <c r="X19" i="1" s="1"/>
  <c r="L19" i="1" s="1"/>
  <c r="T19" i="2"/>
  <c r="X19" i="2" s="1"/>
  <c r="C43" i="2"/>
  <c r="AE42" i="2"/>
  <c r="H42" i="2"/>
  <c r="D42" i="2"/>
  <c r="AD42" i="2"/>
  <c r="K42" i="2"/>
  <c r="G42" i="2"/>
  <c r="J42" i="2"/>
  <c r="F42" i="2"/>
  <c r="B42" i="2"/>
  <c r="N42" i="2"/>
  <c r="E42" i="2"/>
  <c r="AG41" i="1"/>
  <c r="W41" i="1"/>
  <c r="H41" i="1"/>
  <c r="C42" i="1"/>
  <c r="AE41" i="1"/>
  <c r="G41" i="1"/>
  <c r="K39" i="1" s="1"/>
  <c r="AD41" i="1"/>
  <c r="F41" i="1"/>
  <c r="B41" i="1"/>
  <c r="I41" i="1"/>
  <c r="N41" i="1"/>
  <c r="E41" i="1"/>
  <c r="T20" i="2"/>
  <c r="Z19" i="1" l="1"/>
  <c r="AB19" i="1" s="1"/>
  <c r="I19" i="1"/>
  <c r="AM19" i="1"/>
  <c r="AD43" i="2"/>
  <c r="K43" i="2"/>
  <c r="G43" i="2"/>
  <c r="J43" i="2"/>
  <c r="F43" i="2"/>
  <c r="B43" i="2"/>
  <c r="N43" i="2"/>
  <c r="E43" i="2"/>
  <c r="AE43" i="2"/>
  <c r="H43" i="2"/>
  <c r="C44" i="2"/>
  <c r="D43" i="2"/>
  <c r="AM19" i="2"/>
  <c r="L19" i="2"/>
  <c r="Z19" i="2"/>
  <c r="I19" i="2"/>
  <c r="C43" i="1"/>
  <c r="AE42" i="1"/>
  <c r="H42" i="1"/>
  <c r="D42" i="1"/>
  <c r="AD42" i="1"/>
  <c r="K42" i="1"/>
  <c r="G42" i="1"/>
  <c r="J42" i="1"/>
  <c r="F42" i="1"/>
  <c r="B42" i="1"/>
  <c r="N42" i="1"/>
  <c r="E42" i="1"/>
  <c r="T20" i="1"/>
  <c r="T21" i="1" l="1"/>
  <c r="T21" i="2"/>
  <c r="J44" i="2"/>
  <c r="F44" i="2"/>
  <c r="B44" i="2"/>
  <c r="C45" i="2" s="1"/>
  <c r="N44" i="2"/>
  <c r="E44" i="2"/>
  <c r="AE44" i="2"/>
  <c r="H44" i="2"/>
  <c r="D44" i="2"/>
  <c r="K44" i="2"/>
  <c r="AD44" i="2"/>
  <c r="G44" i="2"/>
  <c r="AB19" i="2"/>
  <c r="AD43" i="1"/>
  <c r="K43" i="1"/>
  <c r="G43" i="1"/>
  <c r="J43" i="1"/>
  <c r="F43" i="1"/>
  <c r="B43" i="1"/>
  <c r="N43" i="1"/>
  <c r="E43" i="1"/>
  <c r="AE43" i="1"/>
  <c r="H43" i="1"/>
  <c r="C44" i="1"/>
  <c r="D43" i="1"/>
  <c r="T23" i="2"/>
  <c r="AF45" i="2"/>
  <c r="AG45" i="2" l="1"/>
  <c r="T22" i="1"/>
  <c r="T22" i="2"/>
  <c r="N45" i="2"/>
  <c r="I45" i="2"/>
  <c r="E45" i="2"/>
  <c r="W45" i="2"/>
  <c r="H45" i="2"/>
  <c r="AE45" i="2"/>
  <c r="G45" i="2"/>
  <c r="AD45" i="2"/>
  <c r="F45" i="2"/>
  <c r="B45" i="2"/>
  <c r="C46" i="2" s="1"/>
  <c r="T23" i="1"/>
  <c r="J44" i="1"/>
  <c r="F44" i="1"/>
  <c r="B44" i="1"/>
  <c r="C45" i="1" s="1"/>
  <c r="N44" i="1"/>
  <c r="E44" i="1"/>
  <c r="AE44" i="1"/>
  <c r="H44" i="1"/>
  <c r="D44" i="1"/>
  <c r="K44" i="1"/>
  <c r="AD44" i="1"/>
  <c r="G44" i="1"/>
  <c r="AF46" i="2"/>
  <c r="AF45" i="1"/>
  <c r="AG46" i="2" l="1"/>
  <c r="N46" i="2"/>
  <c r="I46" i="2"/>
  <c r="E46" i="2"/>
  <c r="W46" i="2"/>
  <c r="H46" i="2"/>
  <c r="C47" i="2"/>
  <c r="AE46" i="2"/>
  <c r="G46" i="2"/>
  <c r="AD46" i="2"/>
  <c r="F46" i="2"/>
  <c r="B46" i="2"/>
  <c r="J41" i="2"/>
  <c r="AG45" i="1"/>
  <c r="N45" i="1"/>
  <c r="I45" i="1"/>
  <c r="E45" i="1"/>
  <c r="W45" i="1"/>
  <c r="H45" i="1"/>
  <c r="AE45" i="1"/>
  <c r="G45" i="1"/>
  <c r="J41" i="1" s="1"/>
  <c r="AD45" i="1"/>
  <c r="F45" i="1"/>
  <c r="B45" i="1"/>
  <c r="C46" i="1" s="1"/>
  <c r="AF46" i="1"/>
  <c r="T24" i="1" l="1"/>
  <c r="T24" i="2"/>
  <c r="N47" i="2"/>
  <c r="E47" i="2"/>
  <c r="C48" i="2"/>
  <c r="AE47" i="2"/>
  <c r="H47" i="2"/>
  <c r="D47" i="2"/>
  <c r="AD47" i="2"/>
  <c r="K47" i="2"/>
  <c r="G47" i="2"/>
  <c r="J47" i="2"/>
  <c r="F47" i="2"/>
  <c r="B47" i="2"/>
  <c r="AG46" i="1"/>
  <c r="N46" i="1"/>
  <c r="I46" i="1"/>
  <c r="E46" i="1"/>
  <c r="W46" i="1"/>
  <c r="H46" i="1"/>
  <c r="C47" i="1"/>
  <c r="AE46" i="1"/>
  <c r="G46" i="1"/>
  <c r="AD46" i="1"/>
  <c r="F46" i="1"/>
  <c r="B46" i="1"/>
  <c r="C49" i="2" l="1"/>
  <c r="AE48" i="2"/>
  <c r="H48" i="2"/>
  <c r="D48" i="2"/>
  <c r="AD48" i="2"/>
  <c r="K48" i="2"/>
  <c r="G48" i="2"/>
  <c r="J48" i="2"/>
  <c r="F48" i="2"/>
  <c r="B48" i="2"/>
  <c r="N48" i="2"/>
  <c r="E48" i="2"/>
  <c r="T25" i="1"/>
  <c r="T25" i="2"/>
  <c r="N47" i="1"/>
  <c r="E47" i="1"/>
  <c r="C48" i="1"/>
  <c r="AE47" i="1"/>
  <c r="H47" i="1"/>
  <c r="D47" i="1"/>
  <c r="AD47" i="1"/>
  <c r="K47" i="1"/>
  <c r="G47" i="1"/>
  <c r="J47" i="1"/>
  <c r="F47" i="1"/>
  <c r="B47" i="1"/>
  <c r="T26" i="1" l="1"/>
  <c r="T26" i="2"/>
  <c r="AD49" i="2"/>
  <c r="K49" i="2"/>
  <c r="G49" i="2"/>
  <c r="J49" i="2"/>
  <c r="F49" i="2"/>
  <c r="B49" i="2"/>
  <c r="N49" i="2"/>
  <c r="E49" i="2"/>
  <c r="AE49" i="2"/>
  <c r="H49" i="2"/>
  <c r="C50" i="2"/>
  <c r="D49" i="2"/>
  <c r="C49" i="1"/>
  <c r="AE48" i="1"/>
  <c r="H48" i="1"/>
  <c r="D48" i="1"/>
  <c r="AD48" i="1"/>
  <c r="K48" i="1"/>
  <c r="G48" i="1"/>
  <c r="J48" i="1"/>
  <c r="F48" i="1"/>
  <c r="B48" i="1"/>
  <c r="N48" i="1"/>
  <c r="E48" i="1"/>
  <c r="J50" i="2" l="1"/>
  <c r="F50" i="2"/>
  <c r="B50" i="2"/>
  <c r="N50" i="2"/>
  <c r="E50" i="2"/>
  <c r="C51" i="2"/>
  <c r="AE50" i="2"/>
  <c r="H50" i="2"/>
  <c r="D50" i="2"/>
  <c r="K50" i="2"/>
  <c r="AD50" i="2"/>
  <c r="G50" i="2"/>
  <c r="C50" i="1"/>
  <c r="AE49" i="1"/>
  <c r="K49" i="1"/>
  <c r="G49" i="1"/>
  <c r="J49" i="1"/>
  <c r="F49" i="1"/>
  <c r="B49" i="1"/>
  <c r="AD49" i="1"/>
  <c r="N49" i="1"/>
  <c r="E49" i="1"/>
  <c r="H49" i="1"/>
  <c r="D49" i="1"/>
  <c r="N51" i="2" l="1"/>
  <c r="E51" i="2"/>
  <c r="C52" i="2"/>
  <c r="AE51" i="2"/>
  <c r="H51" i="2"/>
  <c r="D51" i="2"/>
  <c r="AD51" i="2"/>
  <c r="K51" i="2"/>
  <c r="G51" i="2"/>
  <c r="J51" i="2"/>
  <c r="F51" i="2"/>
  <c r="B51" i="2"/>
  <c r="AD50" i="1"/>
  <c r="K50" i="1"/>
  <c r="G50" i="1"/>
  <c r="AE50" i="1"/>
  <c r="N50" i="1"/>
  <c r="H50" i="1"/>
  <c r="B50" i="1"/>
  <c r="F50" i="1"/>
  <c r="C51" i="1"/>
  <c r="J50" i="1"/>
  <c r="E50" i="1"/>
  <c r="D50" i="1"/>
  <c r="T27" i="2"/>
  <c r="C53" i="2" l="1"/>
  <c r="AE52" i="2"/>
  <c r="H52" i="2"/>
  <c r="D52" i="2"/>
  <c r="AD52" i="2"/>
  <c r="K52" i="2"/>
  <c r="G52" i="2"/>
  <c r="J52" i="2"/>
  <c r="F52" i="2"/>
  <c r="B52" i="2"/>
  <c r="N52" i="2"/>
  <c r="E52" i="2"/>
  <c r="T27" i="1"/>
  <c r="J51" i="1"/>
  <c r="F51" i="1"/>
  <c r="B51" i="1"/>
  <c r="K51" i="1"/>
  <c r="E51" i="1"/>
  <c r="D51" i="1"/>
  <c r="AE51" i="1"/>
  <c r="N51" i="1"/>
  <c r="H51" i="1"/>
  <c r="G51" i="1"/>
  <c r="C52" i="1"/>
  <c r="AD51" i="1"/>
  <c r="T28" i="2"/>
  <c r="AD53" i="2" l="1"/>
  <c r="K53" i="2"/>
  <c r="G53" i="2"/>
  <c r="J53" i="2"/>
  <c r="F53" i="2"/>
  <c r="B53" i="2"/>
  <c r="N53" i="2"/>
  <c r="E53" i="2"/>
  <c r="AE53" i="2"/>
  <c r="H53" i="2"/>
  <c r="C54" i="2"/>
  <c r="D53" i="2"/>
  <c r="T28" i="1"/>
  <c r="N52" i="1"/>
  <c r="E52" i="1"/>
  <c r="AD52" i="1"/>
  <c r="G52" i="1"/>
  <c r="B52" i="1"/>
  <c r="C53" i="1"/>
  <c r="K52" i="1"/>
  <c r="F52" i="1"/>
  <c r="J52" i="1"/>
  <c r="D52" i="1"/>
  <c r="AE52" i="1"/>
  <c r="H52" i="1"/>
  <c r="T29" i="2"/>
  <c r="X29" i="2" s="1"/>
  <c r="L29" i="2" l="1"/>
  <c r="AM29" i="2"/>
  <c r="Z29" i="2"/>
  <c r="J54" i="2"/>
  <c r="F54" i="2"/>
  <c r="B54" i="2"/>
  <c r="C55" i="2" s="1"/>
  <c r="N54" i="2"/>
  <c r="E54" i="2"/>
  <c r="AE54" i="2"/>
  <c r="H54" i="2"/>
  <c r="D54" i="2"/>
  <c r="K54" i="2"/>
  <c r="AD54" i="2"/>
  <c r="G54" i="2"/>
  <c r="N53" i="1"/>
  <c r="E53" i="1"/>
  <c r="C54" i="1"/>
  <c r="AE53" i="1"/>
  <c r="H53" i="1"/>
  <c r="D53" i="1"/>
  <c r="F53" i="1"/>
  <c r="K53" i="1"/>
  <c r="J53" i="1"/>
  <c r="B53" i="1"/>
  <c r="AD53" i="1"/>
  <c r="G53" i="1"/>
  <c r="T29" i="1"/>
  <c r="X29" i="1" s="1"/>
  <c r="AF55" i="2"/>
  <c r="AG55" i="2" l="1"/>
  <c r="N55" i="2"/>
  <c r="I55" i="2"/>
  <c r="E55" i="2"/>
  <c r="W55" i="2"/>
  <c r="H55" i="2"/>
  <c r="C56" i="2"/>
  <c r="AE55" i="2"/>
  <c r="G55" i="2"/>
  <c r="AD55" i="2"/>
  <c r="F55" i="2"/>
  <c r="B55" i="2"/>
  <c r="AB29" i="2"/>
  <c r="AE54" i="1"/>
  <c r="H54" i="1"/>
  <c r="D54" i="1"/>
  <c r="AD54" i="1"/>
  <c r="K54" i="1"/>
  <c r="G54" i="1"/>
  <c r="F54" i="1"/>
  <c r="N54" i="1"/>
  <c r="E54" i="1"/>
  <c r="J54" i="1"/>
  <c r="B54" i="1"/>
  <c r="C55" i="1" s="1"/>
  <c r="L29" i="1"/>
  <c r="AM29" i="1"/>
  <c r="Z29" i="1"/>
  <c r="AF55" i="1"/>
  <c r="N56" i="2" l="1"/>
  <c r="E56" i="2"/>
  <c r="W56" i="2"/>
  <c r="H56" i="2"/>
  <c r="D56" i="2"/>
  <c r="AE56" i="2"/>
  <c r="K56" i="2"/>
  <c r="G56" i="2"/>
  <c r="J56" i="2"/>
  <c r="AD56" i="2"/>
  <c r="F56" i="2"/>
  <c r="B56" i="2"/>
  <c r="C57" i="2" s="1"/>
  <c r="AG55" i="1"/>
  <c r="C56" i="1"/>
  <c r="AE55" i="1"/>
  <c r="G55" i="1"/>
  <c r="AD55" i="1"/>
  <c r="F55" i="1"/>
  <c r="B55" i="1"/>
  <c r="I55" i="1"/>
  <c r="W55" i="1"/>
  <c r="H55" i="1"/>
  <c r="E55" i="1"/>
  <c r="N55" i="1"/>
  <c r="AB29" i="1"/>
  <c r="AF57" i="2"/>
  <c r="AG57" i="2" l="1"/>
  <c r="N57" i="2"/>
  <c r="I57" i="2"/>
  <c r="E57" i="2"/>
  <c r="W57" i="2"/>
  <c r="H57" i="2"/>
  <c r="C58" i="2"/>
  <c r="AE57" i="2"/>
  <c r="G57" i="2"/>
  <c r="K55" i="2" s="1"/>
  <c r="AD57" i="2"/>
  <c r="F57" i="2"/>
  <c r="B57" i="2"/>
  <c r="AE56" i="1"/>
  <c r="K56" i="1"/>
  <c r="G56" i="1"/>
  <c r="AD56" i="1"/>
  <c r="J56" i="1"/>
  <c r="F56" i="1"/>
  <c r="B56" i="1"/>
  <c r="C57" i="1" s="1"/>
  <c r="W56" i="1"/>
  <c r="H56" i="1"/>
  <c r="N56" i="1"/>
  <c r="E56" i="1"/>
  <c r="D56" i="1"/>
  <c r="AF57" i="1"/>
  <c r="N58" i="2" l="1"/>
  <c r="E58" i="2"/>
  <c r="C59" i="2"/>
  <c r="AE58" i="2"/>
  <c r="H58" i="2"/>
  <c r="D58" i="2"/>
  <c r="AD58" i="2"/>
  <c r="K58" i="2"/>
  <c r="G58" i="2"/>
  <c r="J58" i="2"/>
  <c r="F58" i="2"/>
  <c r="B58" i="2"/>
  <c r="AG57" i="1"/>
  <c r="C58" i="1"/>
  <c r="AE57" i="1"/>
  <c r="G57" i="1"/>
  <c r="K55" i="1" s="1"/>
  <c r="AD57" i="1"/>
  <c r="F57" i="1"/>
  <c r="B57" i="1"/>
  <c r="I57" i="1"/>
  <c r="W57" i="1"/>
  <c r="H57" i="1"/>
  <c r="E57" i="1"/>
  <c r="N57" i="1"/>
  <c r="C60" i="2" l="1"/>
  <c r="AE59" i="2"/>
  <c r="H59" i="2"/>
  <c r="D59" i="2"/>
  <c r="AD59" i="2"/>
  <c r="K59" i="2"/>
  <c r="G59" i="2"/>
  <c r="J59" i="2"/>
  <c r="F59" i="2"/>
  <c r="B59" i="2"/>
  <c r="N59" i="2"/>
  <c r="E59" i="2"/>
  <c r="AD58" i="1"/>
  <c r="K58" i="1"/>
  <c r="G58" i="1"/>
  <c r="J58" i="1"/>
  <c r="F58" i="1"/>
  <c r="B58" i="1"/>
  <c r="AE58" i="1"/>
  <c r="H58" i="1"/>
  <c r="N58" i="1"/>
  <c r="E58" i="1"/>
  <c r="D58" i="1"/>
  <c r="C59" i="1"/>
  <c r="AE60" i="2" l="1"/>
  <c r="K60" i="2"/>
  <c r="G60" i="2"/>
  <c r="AD60" i="2"/>
  <c r="J60" i="2"/>
  <c r="F60" i="2"/>
  <c r="B60" i="2"/>
  <c r="C61" i="2" s="1"/>
  <c r="N60" i="2"/>
  <c r="E60" i="2"/>
  <c r="H60" i="2"/>
  <c r="D60" i="2"/>
  <c r="W60" i="2"/>
  <c r="J59" i="1"/>
  <c r="F59" i="1"/>
  <c r="B59" i="1"/>
  <c r="N59" i="1"/>
  <c r="E59" i="1"/>
  <c r="AE59" i="1"/>
  <c r="H59" i="1"/>
  <c r="AD59" i="1"/>
  <c r="G59" i="1"/>
  <c r="D59" i="1"/>
  <c r="C60" i="1"/>
  <c r="K59" i="1"/>
  <c r="AF61" i="2"/>
  <c r="AG61" i="2" l="1"/>
  <c r="C62" i="2"/>
  <c r="AE61" i="2"/>
  <c r="AD61" i="2"/>
  <c r="G61" i="2"/>
  <c r="K57" i="2" s="1"/>
  <c r="W61" i="2"/>
  <c r="F61" i="2"/>
  <c r="B61" i="2"/>
  <c r="I61" i="2"/>
  <c r="E61" i="2"/>
  <c r="N61" i="2"/>
  <c r="H61" i="2"/>
  <c r="N60" i="1"/>
  <c r="E60" i="1"/>
  <c r="W60" i="1"/>
  <c r="H60" i="1"/>
  <c r="D60" i="1"/>
  <c r="J60" i="1"/>
  <c r="B60" i="1"/>
  <c r="C61" i="1" s="1"/>
  <c r="AE60" i="1"/>
  <c r="G60" i="1"/>
  <c r="AD60" i="1"/>
  <c r="F60" i="1"/>
  <c r="K60" i="1"/>
  <c r="AF61" i="1"/>
  <c r="AD62" i="2" l="1"/>
  <c r="K62" i="2"/>
  <c r="G62" i="2"/>
  <c r="C63" i="2"/>
  <c r="J62" i="2"/>
  <c r="E62" i="2"/>
  <c r="D62" i="2"/>
  <c r="AE62" i="2"/>
  <c r="N62" i="2"/>
  <c r="H62" i="2"/>
  <c r="B62" i="2"/>
  <c r="F62" i="2"/>
  <c r="AG61" i="1"/>
  <c r="N61" i="1"/>
  <c r="I61" i="1"/>
  <c r="E61" i="1"/>
  <c r="W61" i="1"/>
  <c r="H61" i="1"/>
  <c r="C62" i="1"/>
  <c r="B61" i="1"/>
  <c r="AE61" i="1"/>
  <c r="G61" i="1"/>
  <c r="AD61" i="1"/>
  <c r="F61" i="1"/>
  <c r="AD63" i="2" l="1"/>
  <c r="J63" i="2"/>
  <c r="F63" i="2"/>
  <c r="B63" i="2"/>
  <c r="N63" i="2"/>
  <c r="H63" i="2"/>
  <c r="C64" i="2"/>
  <c r="G63" i="2"/>
  <c r="AE63" i="2"/>
  <c r="W63" i="2"/>
  <c r="K63" i="2"/>
  <c r="E63" i="2"/>
  <c r="D63" i="2"/>
  <c r="N62" i="1"/>
  <c r="E62" i="1"/>
  <c r="C63" i="1"/>
  <c r="AE62" i="1"/>
  <c r="H62" i="1"/>
  <c r="D62" i="1"/>
  <c r="AD62" i="1"/>
  <c r="K62" i="1"/>
  <c r="G62" i="1"/>
  <c r="J62" i="1"/>
  <c r="F62" i="1"/>
  <c r="B62" i="1"/>
  <c r="T30" i="2"/>
  <c r="AD64" i="2" l="1"/>
  <c r="J64" i="2"/>
  <c r="F64" i="2"/>
  <c r="B64" i="2"/>
  <c r="N64" i="2"/>
  <c r="E64" i="2"/>
  <c r="D64" i="2"/>
  <c r="AE64" i="2"/>
  <c r="K64" i="2"/>
  <c r="C65" i="2"/>
  <c r="H64" i="2"/>
  <c r="G64" i="2"/>
  <c r="W63" i="1"/>
  <c r="H63" i="1"/>
  <c r="D63" i="1"/>
  <c r="C64" i="1"/>
  <c r="AE63" i="1"/>
  <c r="K63" i="1"/>
  <c r="G63" i="1"/>
  <c r="AD63" i="1"/>
  <c r="J63" i="1"/>
  <c r="F63" i="1"/>
  <c r="B63" i="1"/>
  <c r="N63" i="1"/>
  <c r="E63" i="1"/>
  <c r="T30" i="1"/>
  <c r="T31" i="2"/>
  <c r="J65" i="2" l="1"/>
  <c r="F65" i="2"/>
  <c r="B65" i="2"/>
  <c r="C66" i="2" s="1"/>
  <c r="N65" i="2"/>
  <c r="E65" i="2"/>
  <c r="AE65" i="2"/>
  <c r="H65" i="2"/>
  <c r="D65" i="2"/>
  <c r="K65" i="2"/>
  <c r="AD65" i="2"/>
  <c r="G65" i="2"/>
  <c r="T31" i="1"/>
  <c r="C65" i="1"/>
  <c r="AE64" i="1"/>
  <c r="H64" i="1"/>
  <c r="D64" i="1"/>
  <c r="AD64" i="1"/>
  <c r="K64" i="1"/>
  <c r="G64" i="1"/>
  <c r="J64" i="1"/>
  <c r="F64" i="1"/>
  <c r="B64" i="1"/>
  <c r="N64" i="1"/>
  <c r="E64" i="1"/>
  <c r="T32" i="2"/>
  <c r="AF66" i="2"/>
  <c r="AG66" i="2" l="1"/>
  <c r="N66" i="2"/>
  <c r="I66" i="2"/>
  <c r="E66" i="2"/>
  <c r="W66" i="2"/>
  <c r="H66" i="2"/>
  <c r="AE66" i="2"/>
  <c r="G66" i="2"/>
  <c r="AD66" i="2"/>
  <c r="F66" i="2"/>
  <c r="B66" i="2"/>
  <c r="C67" i="2" s="1"/>
  <c r="K61" i="2"/>
  <c r="AD65" i="1"/>
  <c r="K65" i="1"/>
  <c r="G65" i="1"/>
  <c r="J65" i="1"/>
  <c r="F65" i="1"/>
  <c r="B65" i="1"/>
  <c r="C66" i="1" s="1"/>
  <c r="N65" i="1"/>
  <c r="E65" i="1"/>
  <c r="AE65" i="1"/>
  <c r="H65" i="1"/>
  <c r="D65" i="1"/>
  <c r="T32" i="1"/>
  <c r="T33" i="2"/>
  <c r="AF66" i="1"/>
  <c r="AF67" i="2"/>
  <c r="AG67" i="2" l="1"/>
  <c r="N67" i="2"/>
  <c r="I67" i="2"/>
  <c r="E67" i="2"/>
  <c r="W67" i="2"/>
  <c r="H67" i="2"/>
  <c r="C68" i="2"/>
  <c r="AE67" i="2"/>
  <c r="G67" i="2"/>
  <c r="AD67" i="2"/>
  <c r="F67" i="2"/>
  <c r="B67" i="2"/>
  <c r="AG66" i="1"/>
  <c r="AD66" i="1"/>
  <c r="F66" i="1"/>
  <c r="B66" i="1"/>
  <c r="C67" i="1" s="1"/>
  <c r="N66" i="1"/>
  <c r="I66" i="1"/>
  <c r="E66" i="1"/>
  <c r="W66" i="1"/>
  <c r="H66" i="1"/>
  <c r="AE66" i="1"/>
  <c r="G66" i="1"/>
  <c r="T33" i="1"/>
  <c r="T35" i="2"/>
  <c r="T34" i="2"/>
  <c r="AF67" i="1"/>
  <c r="N68" i="2" l="1"/>
  <c r="E68" i="2"/>
  <c r="C69" i="2"/>
  <c r="AE68" i="2"/>
  <c r="H68" i="2"/>
  <c r="D68" i="2"/>
  <c r="AD68" i="2"/>
  <c r="K68" i="2"/>
  <c r="G68" i="2"/>
  <c r="J68" i="2"/>
  <c r="F68" i="2"/>
  <c r="B68" i="2"/>
  <c r="AG67" i="1"/>
  <c r="AD67" i="1"/>
  <c r="F67" i="1"/>
  <c r="B67" i="1"/>
  <c r="N67" i="1"/>
  <c r="I67" i="1"/>
  <c r="E67" i="1"/>
  <c r="W67" i="1"/>
  <c r="H67" i="1"/>
  <c r="AE67" i="1"/>
  <c r="G67" i="1"/>
  <c r="C68" i="1"/>
  <c r="T35" i="1"/>
  <c r="T34" i="1"/>
  <c r="T36" i="2"/>
  <c r="X36" i="2" s="1"/>
  <c r="L36" i="2" l="1"/>
  <c r="AM36" i="2"/>
  <c r="I36" i="2"/>
  <c r="Z36" i="2"/>
  <c r="C70" i="2"/>
  <c r="AE69" i="2"/>
  <c r="H69" i="2"/>
  <c r="D69" i="2"/>
  <c r="AD69" i="2"/>
  <c r="K69" i="2"/>
  <c r="G69" i="2"/>
  <c r="J69" i="2"/>
  <c r="F69" i="2"/>
  <c r="B69" i="2"/>
  <c r="N69" i="2"/>
  <c r="E69" i="2"/>
  <c r="T36" i="1"/>
  <c r="X36" i="1" s="1"/>
  <c r="J68" i="1"/>
  <c r="F68" i="1"/>
  <c r="B68" i="1"/>
  <c r="N68" i="1"/>
  <c r="E68" i="1"/>
  <c r="C69" i="1"/>
  <c r="AE68" i="1"/>
  <c r="H68" i="1"/>
  <c r="D68" i="1"/>
  <c r="K68" i="1"/>
  <c r="AD68" i="1"/>
  <c r="G68" i="1"/>
  <c r="T37" i="2"/>
  <c r="X37" i="2" s="1"/>
  <c r="L37" i="2" l="1"/>
  <c r="AM37" i="2"/>
  <c r="Z37" i="2"/>
  <c r="I37" i="2"/>
  <c r="AD70" i="2"/>
  <c r="K70" i="2"/>
  <c r="G70" i="2"/>
  <c r="J70" i="2"/>
  <c r="F70" i="2"/>
  <c r="B70" i="2"/>
  <c r="N70" i="2"/>
  <c r="E70" i="2"/>
  <c r="AE70" i="2"/>
  <c r="H70" i="2"/>
  <c r="C71" i="2"/>
  <c r="D70" i="2"/>
  <c r="AB36" i="2"/>
  <c r="L36" i="1"/>
  <c r="AM36" i="1"/>
  <c r="I36" i="1"/>
  <c r="Z36" i="1"/>
  <c r="N69" i="1"/>
  <c r="E69" i="1"/>
  <c r="C70" i="1"/>
  <c r="AE69" i="1"/>
  <c r="H69" i="1"/>
  <c r="D69" i="1"/>
  <c r="AD69" i="1"/>
  <c r="K69" i="1"/>
  <c r="G69" i="1"/>
  <c r="J69" i="1"/>
  <c r="F69" i="1"/>
  <c r="B69" i="1"/>
  <c r="T37" i="1"/>
  <c r="X37" i="1" s="1"/>
  <c r="T38" i="2"/>
  <c r="X38" i="2" s="1"/>
  <c r="L38" i="2" l="1"/>
  <c r="AM38" i="2"/>
  <c r="I38" i="2"/>
  <c r="Z38" i="2"/>
  <c r="AB37" i="2"/>
  <c r="J71" i="2"/>
  <c r="F71" i="2"/>
  <c r="B71" i="2"/>
  <c r="C72" i="2" s="1"/>
  <c r="N71" i="2"/>
  <c r="E71" i="2"/>
  <c r="AE71" i="2"/>
  <c r="H71" i="2"/>
  <c r="D71" i="2"/>
  <c r="K71" i="2"/>
  <c r="AD71" i="2"/>
  <c r="G71" i="2"/>
  <c r="L37" i="1"/>
  <c r="AM37" i="1"/>
  <c r="I37" i="1"/>
  <c r="Z37" i="1"/>
  <c r="T38" i="1"/>
  <c r="X38" i="1" s="1"/>
  <c r="AB36" i="1"/>
  <c r="C71" i="1"/>
  <c r="AE70" i="1"/>
  <c r="H70" i="1"/>
  <c r="D70" i="1"/>
  <c r="AD70" i="1"/>
  <c r="K70" i="1"/>
  <c r="G70" i="1"/>
  <c r="J70" i="1"/>
  <c r="F70" i="1"/>
  <c r="B70" i="1"/>
  <c r="N70" i="1"/>
  <c r="E70" i="1"/>
  <c r="T39" i="2"/>
  <c r="AF72" i="2"/>
  <c r="AG72" i="2" l="1"/>
  <c r="N72" i="2"/>
  <c r="I72" i="2"/>
  <c r="E72" i="2"/>
  <c r="W72" i="2"/>
  <c r="H72" i="2"/>
  <c r="C73" i="2"/>
  <c r="AE72" i="2"/>
  <c r="G72" i="2"/>
  <c r="AD72" i="2"/>
  <c r="F72" i="2"/>
  <c r="B72" i="2"/>
  <c r="AB38" i="2"/>
  <c r="AD71" i="1"/>
  <c r="K71" i="1"/>
  <c r="G71" i="1"/>
  <c r="J71" i="1"/>
  <c r="F71" i="1"/>
  <c r="B71" i="1"/>
  <c r="C72" i="1" s="1"/>
  <c r="N71" i="1"/>
  <c r="E71" i="1"/>
  <c r="AE71" i="1"/>
  <c r="H71" i="1"/>
  <c r="D71" i="1"/>
  <c r="L38" i="1"/>
  <c r="AM38" i="1"/>
  <c r="I38" i="1"/>
  <c r="Z38" i="1"/>
  <c r="AB37" i="1"/>
  <c r="T39" i="1"/>
  <c r="T40" i="2"/>
  <c r="AF72" i="1"/>
  <c r="N73" i="2" l="1"/>
  <c r="E73" i="2"/>
  <c r="AE73" i="2"/>
  <c r="H73" i="2"/>
  <c r="D73" i="2"/>
  <c r="AD73" i="2"/>
  <c r="K73" i="2"/>
  <c r="G73" i="2"/>
  <c r="J73" i="2"/>
  <c r="F73" i="2"/>
  <c r="B73" i="2"/>
  <c r="C74" i="2" s="1"/>
  <c r="AG72" i="1"/>
  <c r="T40" i="1"/>
  <c r="AD72" i="1"/>
  <c r="F72" i="1"/>
  <c r="B72" i="1"/>
  <c r="N72" i="1"/>
  <c r="I72" i="1"/>
  <c r="E72" i="1"/>
  <c r="W72" i="1"/>
  <c r="H72" i="1"/>
  <c r="AE72" i="1"/>
  <c r="G72" i="1"/>
  <c r="C73" i="1"/>
  <c r="AB38" i="1"/>
  <c r="AF74" i="2"/>
  <c r="AG74" i="2" l="1"/>
  <c r="W74" i="2"/>
  <c r="H74" i="2"/>
  <c r="K72" i="2" s="1"/>
  <c r="C75" i="2"/>
  <c r="AE74" i="2"/>
  <c r="G74" i="2"/>
  <c r="AD74" i="2"/>
  <c r="F74" i="2"/>
  <c r="B74" i="2"/>
  <c r="N74" i="2"/>
  <c r="I74" i="2"/>
  <c r="E74" i="2"/>
  <c r="J73" i="1"/>
  <c r="F73" i="1"/>
  <c r="B73" i="1"/>
  <c r="C74" i="1" s="1"/>
  <c r="N73" i="1"/>
  <c r="E73" i="1"/>
  <c r="AE73" i="1"/>
  <c r="H73" i="1"/>
  <c r="D73" i="1"/>
  <c r="K73" i="1"/>
  <c r="AD73" i="1"/>
  <c r="G73" i="1"/>
  <c r="T41" i="2"/>
  <c r="AF74" i="1"/>
  <c r="C76" i="2" l="1"/>
  <c r="AE75" i="2"/>
  <c r="H75" i="2"/>
  <c r="D75" i="2"/>
  <c r="AD75" i="2"/>
  <c r="K75" i="2"/>
  <c r="G75" i="2"/>
  <c r="J75" i="2"/>
  <c r="F75" i="2"/>
  <c r="B75" i="2"/>
  <c r="N75" i="2"/>
  <c r="E75" i="2"/>
  <c r="AG74" i="1"/>
  <c r="N74" i="1"/>
  <c r="I74" i="1"/>
  <c r="E74" i="1"/>
  <c r="W74" i="1"/>
  <c r="H74" i="1"/>
  <c r="K72" i="1" s="1"/>
  <c r="C75" i="1"/>
  <c r="AE74" i="1"/>
  <c r="G74" i="1"/>
  <c r="AD74" i="1"/>
  <c r="F74" i="1"/>
  <c r="B74" i="1"/>
  <c r="T41" i="1"/>
  <c r="T42" i="2"/>
  <c r="AD76" i="2" l="1"/>
  <c r="K76" i="2"/>
  <c r="G76" i="2"/>
  <c r="J76" i="2"/>
  <c r="F76" i="2"/>
  <c r="B76" i="2"/>
  <c r="C77" i="2" s="1"/>
  <c r="N76" i="2"/>
  <c r="E76" i="2"/>
  <c r="AE76" i="2"/>
  <c r="H76" i="2"/>
  <c r="D76" i="2"/>
  <c r="T42" i="1"/>
  <c r="N75" i="1"/>
  <c r="E75" i="1"/>
  <c r="C76" i="1"/>
  <c r="AE75" i="1"/>
  <c r="H75" i="1"/>
  <c r="D75" i="1"/>
  <c r="AD75" i="1"/>
  <c r="K75" i="1"/>
  <c r="G75" i="1"/>
  <c r="J75" i="1"/>
  <c r="F75" i="1"/>
  <c r="B75" i="1"/>
  <c r="T43" i="2"/>
  <c r="AF77" i="2"/>
  <c r="AG77" i="2" l="1"/>
  <c r="AD77" i="2"/>
  <c r="F77" i="2"/>
  <c r="B77" i="2"/>
  <c r="N77" i="2"/>
  <c r="I77" i="2"/>
  <c r="E77" i="2"/>
  <c r="W77" i="2"/>
  <c r="H77" i="2"/>
  <c r="K74" i="2" s="1"/>
  <c r="AE77" i="2"/>
  <c r="G77" i="2"/>
  <c r="C78" i="2"/>
  <c r="T43" i="1"/>
  <c r="AE76" i="1"/>
  <c r="H76" i="1"/>
  <c r="D76" i="1"/>
  <c r="AD76" i="1"/>
  <c r="K76" i="1"/>
  <c r="G76" i="1"/>
  <c r="J76" i="1"/>
  <c r="F76" i="1"/>
  <c r="B76" i="1"/>
  <c r="C77" i="1" s="1"/>
  <c r="N76" i="1"/>
  <c r="E76" i="1"/>
  <c r="T44" i="2"/>
  <c r="AF77" i="1"/>
  <c r="J78" i="2" l="1"/>
  <c r="F78" i="2"/>
  <c r="B78" i="2"/>
  <c r="N78" i="2"/>
  <c r="E78" i="2"/>
  <c r="C79" i="2"/>
  <c r="AE78" i="2"/>
  <c r="H78" i="2"/>
  <c r="D78" i="2"/>
  <c r="K78" i="2"/>
  <c r="AD78" i="2"/>
  <c r="G78" i="2"/>
  <c r="AG77" i="1"/>
  <c r="C78" i="1"/>
  <c r="AE77" i="1"/>
  <c r="G77" i="1"/>
  <c r="AD77" i="1"/>
  <c r="F77" i="1"/>
  <c r="B77" i="1"/>
  <c r="N77" i="1"/>
  <c r="I77" i="1"/>
  <c r="E77" i="1"/>
  <c r="W77" i="1"/>
  <c r="H77" i="1"/>
  <c r="K74" i="1" s="1"/>
  <c r="T44" i="1"/>
  <c r="T45" i="2"/>
  <c r="T46" i="2"/>
  <c r="N79" i="2" l="1"/>
  <c r="E79" i="2"/>
  <c r="AE79" i="2"/>
  <c r="H79" i="2"/>
  <c r="D79" i="2"/>
  <c r="AD79" i="2"/>
  <c r="K79" i="2"/>
  <c r="G79" i="2"/>
  <c r="J79" i="2"/>
  <c r="F79" i="2"/>
  <c r="B79" i="2"/>
  <c r="C80" i="2" s="1"/>
  <c r="T45" i="1"/>
  <c r="T46" i="1"/>
  <c r="AD78" i="1"/>
  <c r="K78" i="1"/>
  <c r="G78" i="1"/>
  <c r="J78" i="1"/>
  <c r="F78" i="1"/>
  <c r="B78" i="1"/>
  <c r="AE78" i="1"/>
  <c r="H78" i="1"/>
  <c r="N78" i="1"/>
  <c r="E78" i="1"/>
  <c r="D78" i="1"/>
  <c r="C79" i="1"/>
  <c r="T47" i="2"/>
  <c r="AF80" i="2"/>
  <c r="AG80" i="2" l="1"/>
  <c r="W80" i="2"/>
  <c r="H80" i="2"/>
  <c r="K77" i="2" s="1"/>
  <c r="C81" i="2"/>
  <c r="AE80" i="2"/>
  <c r="G80" i="2"/>
  <c r="AD80" i="2"/>
  <c r="F80" i="2"/>
  <c r="B80" i="2"/>
  <c r="N80" i="2"/>
  <c r="I80" i="2"/>
  <c r="E80" i="2"/>
  <c r="J79" i="1"/>
  <c r="F79" i="1"/>
  <c r="B79" i="1"/>
  <c r="C80" i="1" s="1"/>
  <c r="N79" i="1"/>
  <c r="E79" i="1"/>
  <c r="AE79" i="1"/>
  <c r="H79" i="1"/>
  <c r="AD79" i="1"/>
  <c r="G79" i="1"/>
  <c r="D79" i="1"/>
  <c r="K79" i="1"/>
  <c r="T47" i="1"/>
  <c r="T48" i="2"/>
  <c r="AF80" i="1"/>
  <c r="AE81" i="2" l="1"/>
  <c r="H81" i="2"/>
  <c r="D81" i="2"/>
  <c r="AD81" i="2"/>
  <c r="K81" i="2"/>
  <c r="G81" i="2"/>
  <c r="J81" i="2"/>
  <c r="F81" i="2"/>
  <c r="B81" i="2"/>
  <c r="C82" i="2" s="1"/>
  <c r="E81" i="2"/>
  <c r="N81" i="2"/>
  <c r="AG80" i="1"/>
  <c r="T48" i="1"/>
  <c r="N80" i="1"/>
  <c r="I80" i="1"/>
  <c r="E80" i="1"/>
  <c r="W80" i="1"/>
  <c r="H80" i="1"/>
  <c r="K77" i="1" s="1"/>
  <c r="C81" i="1"/>
  <c r="B80" i="1"/>
  <c r="AE80" i="1"/>
  <c r="G80" i="1"/>
  <c r="AD80" i="1"/>
  <c r="F80" i="1"/>
  <c r="T49" i="2"/>
  <c r="AF82" i="2"/>
  <c r="AG82" i="2" l="1"/>
  <c r="AD82" i="2"/>
  <c r="F82" i="2"/>
  <c r="B82" i="2"/>
  <c r="W82" i="2"/>
  <c r="E82" i="2"/>
  <c r="I82" i="2"/>
  <c r="C83" i="2"/>
  <c r="N82" i="2"/>
  <c r="H82" i="2"/>
  <c r="K80" i="2" s="1"/>
  <c r="G82" i="2"/>
  <c r="AE82" i="2"/>
  <c r="T49" i="1"/>
  <c r="N81" i="1"/>
  <c r="E81" i="1"/>
  <c r="AE81" i="1"/>
  <c r="H81" i="1"/>
  <c r="D81" i="1"/>
  <c r="K81" i="1"/>
  <c r="J81" i="1"/>
  <c r="B81" i="1"/>
  <c r="C82" i="1" s="1"/>
  <c r="AD81" i="1"/>
  <c r="G81" i="1"/>
  <c r="F81" i="1"/>
  <c r="T50" i="2"/>
  <c r="AF82" i="1"/>
  <c r="J83" i="2" l="1"/>
  <c r="F83" i="2"/>
  <c r="B83" i="2"/>
  <c r="N83" i="2"/>
  <c r="E83" i="2"/>
  <c r="AD83" i="2"/>
  <c r="G83" i="2"/>
  <c r="D83" i="2"/>
  <c r="C84" i="2"/>
  <c r="K83" i="2"/>
  <c r="H83" i="2"/>
  <c r="AE83" i="2"/>
  <c r="AG82" i="1"/>
  <c r="W82" i="1"/>
  <c r="H82" i="1"/>
  <c r="K80" i="1" s="1"/>
  <c r="C83" i="1"/>
  <c r="AE82" i="1"/>
  <c r="G82" i="1"/>
  <c r="AD82" i="1"/>
  <c r="F82" i="1"/>
  <c r="N82" i="1"/>
  <c r="E82" i="1"/>
  <c r="B82" i="1"/>
  <c r="I82" i="1"/>
  <c r="T50" i="1"/>
  <c r="T51" i="2"/>
  <c r="N84" i="2" l="1"/>
  <c r="E84" i="2"/>
  <c r="AE84" i="2"/>
  <c r="H84" i="2"/>
  <c r="D84" i="2"/>
  <c r="AD84" i="2"/>
  <c r="G84" i="2"/>
  <c r="F84" i="2"/>
  <c r="K84" i="2"/>
  <c r="B84" i="2"/>
  <c r="C85" i="2" s="1"/>
  <c r="J84" i="2"/>
  <c r="T51" i="1"/>
  <c r="C84" i="1"/>
  <c r="AE83" i="1"/>
  <c r="H83" i="1"/>
  <c r="D83" i="1"/>
  <c r="AD83" i="1"/>
  <c r="K83" i="1"/>
  <c r="G83" i="1"/>
  <c r="J83" i="1"/>
  <c r="B83" i="1"/>
  <c r="F83" i="1"/>
  <c r="N83" i="1"/>
  <c r="E83" i="1"/>
  <c r="T52" i="2"/>
  <c r="AF85" i="2"/>
  <c r="AG85" i="2" l="1"/>
  <c r="W85" i="2"/>
  <c r="H85" i="2"/>
  <c r="J82" i="2" s="1"/>
  <c r="C86" i="2"/>
  <c r="AE85" i="2"/>
  <c r="G85" i="2"/>
  <c r="B85" i="2"/>
  <c r="I85" i="2"/>
  <c r="AD85" i="2"/>
  <c r="F85" i="2"/>
  <c r="N85" i="2"/>
  <c r="E85" i="2"/>
  <c r="AD84" i="1"/>
  <c r="K84" i="1"/>
  <c r="G84" i="1"/>
  <c r="J84" i="1"/>
  <c r="F84" i="1"/>
  <c r="B84" i="1"/>
  <c r="N84" i="1"/>
  <c r="E84" i="1"/>
  <c r="D84" i="1"/>
  <c r="C85" i="1"/>
  <c r="H84" i="1"/>
  <c r="AE84" i="1"/>
  <c r="T52" i="1"/>
  <c r="T53" i="2"/>
  <c r="AF85" i="1"/>
  <c r="C87" i="2" l="1"/>
  <c r="AE86" i="2"/>
  <c r="H86" i="2"/>
  <c r="D86" i="2"/>
  <c r="AD86" i="2"/>
  <c r="K86" i="2"/>
  <c r="G86" i="2"/>
  <c r="F86" i="2"/>
  <c r="N86" i="2"/>
  <c r="E86" i="2"/>
  <c r="J86" i="2"/>
  <c r="B86" i="2"/>
  <c r="AG85" i="1"/>
  <c r="T53" i="1"/>
  <c r="AD85" i="1"/>
  <c r="F85" i="1"/>
  <c r="B85" i="1"/>
  <c r="N85" i="1"/>
  <c r="I85" i="1"/>
  <c r="E85" i="1"/>
  <c r="AE85" i="1"/>
  <c r="G85" i="1"/>
  <c r="W85" i="1"/>
  <c r="C86" i="1"/>
  <c r="H85" i="1"/>
  <c r="T54" i="2"/>
  <c r="AD87" i="2" l="1"/>
  <c r="K87" i="2"/>
  <c r="G87" i="2"/>
  <c r="J87" i="2"/>
  <c r="F87" i="2"/>
  <c r="B87" i="2"/>
  <c r="C88" i="2"/>
  <c r="AE87" i="2"/>
  <c r="H87" i="2"/>
  <c r="N87" i="2"/>
  <c r="E87" i="2"/>
  <c r="D87" i="2"/>
  <c r="J82" i="1"/>
  <c r="J80" i="1"/>
  <c r="D80" i="1" s="1"/>
  <c r="T54" i="1"/>
  <c r="AD86" i="1"/>
  <c r="J86" i="1"/>
  <c r="F86" i="1"/>
  <c r="B86" i="1"/>
  <c r="N86" i="1"/>
  <c r="E86" i="1"/>
  <c r="C87" i="1"/>
  <c r="H86" i="1"/>
  <c r="G86" i="1"/>
  <c r="D86" i="1"/>
  <c r="K86" i="1"/>
  <c r="AE86" i="1"/>
  <c r="T55" i="2"/>
  <c r="J88" i="2" l="1"/>
  <c r="F88" i="2"/>
  <c r="B88" i="2"/>
  <c r="N88" i="2"/>
  <c r="E88" i="2"/>
  <c r="C89" i="2"/>
  <c r="K88" i="2"/>
  <c r="AE88" i="2"/>
  <c r="H88" i="2"/>
  <c r="AD88" i="2"/>
  <c r="G88" i="2"/>
  <c r="D88" i="2"/>
  <c r="J87" i="1"/>
  <c r="F87" i="1"/>
  <c r="B87" i="1"/>
  <c r="N87" i="1"/>
  <c r="E87" i="1"/>
  <c r="C88" i="1"/>
  <c r="AE87" i="1"/>
  <c r="H87" i="1"/>
  <c r="D87" i="1"/>
  <c r="K87" i="1"/>
  <c r="AD87" i="1"/>
  <c r="G87" i="1"/>
  <c r="T55" i="1"/>
  <c r="N89" i="2" l="1"/>
  <c r="E89" i="2"/>
  <c r="C90" i="2"/>
  <c r="AE89" i="2"/>
  <c r="H89" i="2"/>
  <c r="D89" i="2"/>
  <c r="K89" i="2"/>
  <c r="J89" i="2"/>
  <c r="B89" i="2"/>
  <c r="AD89" i="2"/>
  <c r="G89" i="2"/>
  <c r="F89" i="2"/>
  <c r="N88" i="1"/>
  <c r="E88" i="1"/>
  <c r="C89" i="1"/>
  <c r="AE88" i="1"/>
  <c r="H88" i="1"/>
  <c r="D88" i="1"/>
  <c r="AD88" i="1"/>
  <c r="K88" i="1"/>
  <c r="G88" i="1"/>
  <c r="B88" i="1"/>
  <c r="J88" i="1"/>
  <c r="F88" i="1"/>
  <c r="T57" i="2"/>
  <c r="T56" i="2"/>
  <c r="X56" i="2" s="1"/>
  <c r="L56" i="2" l="1"/>
  <c r="AM56" i="2"/>
  <c r="I56" i="2"/>
  <c r="Z56" i="2"/>
  <c r="N90" i="2"/>
  <c r="E90" i="2"/>
  <c r="C91" i="2"/>
  <c r="AE90" i="2"/>
  <c r="H90" i="2"/>
  <c r="D90" i="2"/>
  <c r="AD90" i="2"/>
  <c r="K90" i="2"/>
  <c r="G90" i="2"/>
  <c r="J90" i="2"/>
  <c r="F90" i="2"/>
  <c r="B90" i="2"/>
  <c r="C90" i="1"/>
  <c r="AE89" i="1"/>
  <c r="H89" i="1"/>
  <c r="D89" i="1"/>
  <c r="AD89" i="1"/>
  <c r="K89" i="1"/>
  <c r="G89" i="1"/>
  <c r="J89" i="1"/>
  <c r="F89" i="1"/>
  <c r="B89" i="1"/>
  <c r="E89" i="1"/>
  <c r="N89" i="1"/>
  <c r="T56" i="1"/>
  <c r="X56" i="1" s="1"/>
  <c r="T57" i="1"/>
  <c r="T58" i="2"/>
  <c r="C92" i="2" l="1"/>
  <c r="AE91" i="2"/>
  <c r="H91" i="2"/>
  <c r="D91" i="2"/>
  <c r="AD91" i="2"/>
  <c r="K91" i="2"/>
  <c r="G91" i="2"/>
  <c r="J91" i="2"/>
  <c r="F91" i="2"/>
  <c r="B91" i="2"/>
  <c r="N91" i="2"/>
  <c r="E91" i="2"/>
  <c r="AB56" i="2"/>
  <c r="AM56" i="1"/>
  <c r="L56" i="1"/>
  <c r="Z56" i="1"/>
  <c r="I56" i="1"/>
  <c r="N90" i="1"/>
  <c r="E90" i="1"/>
  <c r="AE90" i="1"/>
  <c r="H90" i="1"/>
  <c r="AD90" i="1"/>
  <c r="G90" i="1"/>
  <c r="B90" i="1"/>
  <c r="C91" i="1"/>
  <c r="K90" i="1"/>
  <c r="F90" i="1"/>
  <c r="D90" i="1"/>
  <c r="J90" i="1"/>
  <c r="T58" i="1"/>
  <c r="T59" i="2"/>
  <c r="AD92" i="2" l="1"/>
  <c r="K92" i="2"/>
  <c r="G92" i="2"/>
  <c r="J92" i="2"/>
  <c r="F92" i="2"/>
  <c r="B92" i="2"/>
  <c r="N92" i="2"/>
  <c r="E92" i="2"/>
  <c r="AE92" i="2"/>
  <c r="H92" i="2"/>
  <c r="C93" i="2"/>
  <c r="D92" i="2"/>
  <c r="T59" i="1"/>
  <c r="C92" i="1"/>
  <c r="AE91" i="1"/>
  <c r="H91" i="1"/>
  <c r="D91" i="1"/>
  <c r="K91" i="1"/>
  <c r="F91" i="1"/>
  <c r="J91" i="1"/>
  <c r="E91" i="1"/>
  <c r="N91" i="1"/>
  <c r="G91" i="1"/>
  <c r="AD91" i="1"/>
  <c r="B91" i="1"/>
  <c r="AB56" i="1"/>
  <c r="T60" i="2"/>
  <c r="X60" i="2" s="1"/>
  <c r="J93" i="2" l="1"/>
  <c r="F93" i="2"/>
  <c r="B93" i="2"/>
  <c r="N93" i="2"/>
  <c r="E93" i="2"/>
  <c r="C94" i="2"/>
  <c r="AE93" i="2"/>
  <c r="H93" i="2"/>
  <c r="D93" i="2"/>
  <c r="K93" i="2"/>
  <c r="AD93" i="2"/>
  <c r="G93" i="2"/>
  <c r="AM60" i="2"/>
  <c r="L60" i="2"/>
  <c r="Z60" i="2"/>
  <c r="T60" i="1"/>
  <c r="X60" i="1" s="1"/>
  <c r="AD92" i="1"/>
  <c r="K92" i="1"/>
  <c r="G92" i="1"/>
  <c r="D92" i="1"/>
  <c r="AE92" i="1"/>
  <c r="N92" i="1"/>
  <c r="H92" i="1"/>
  <c r="B92" i="1"/>
  <c r="F92" i="1"/>
  <c r="C93" i="1"/>
  <c r="J92" i="1"/>
  <c r="E92" i="1"/>
  <c r="T61" i="2"/>
  <c r="T62" i="2"/>
  <c r="AB60" i="2" l="1"/>
  <c r="N94" i="2"/>
  <c r="E94" i="2"/>
  <c r="C95" i="2"/>
  <c r="AE94" i="2"/>
  <c r="H94" i="2"/>
  <c r="D94" i="2"/>
  <c r="AD94" i="2"/>
  <c r="K94" i="2"/>
  <c r="G94" i="2"/>
  <c r="J94" i="2"/>
  <c r="F94" i="2"/>
  <c r="B94" i="2"/>
  <c r="L60" i="1"/>
  <c r="AM60" i="1"/>
  <c r="Z60" i="1"/>
  <c r="T62" i="1"/>
  <c r="T61" i="1"/>
  <c r="J93" i="1"/>
  <c r="F93" i="1"/>
  <c r="B93" i="1"/>
  <c r="C94" i="1"/>
  <c r="AD93" i="1"/>
  <c r="G93" i="1"/>
  <c r="K93" i="1"/>
  <c r="E93" i="1"/>
  <c r="D93" i="1"/>
  <c r="H93" i="1"/>
  <c r="AE93" i="1"/>
  <c r="N93" i="1"/>
  <c r="T63" i="2"/>
  <c r="X63" i="2" s="1"/>
  <c r="AM63" i="2" l="1"/>
  <c r="L63" i="2"/>
  <c r="Z63" i="2"/>
  <c r="C96" i="2"/>
  <c r="AE95" i="2"/>
  <c r="H95" i="2"/>
  <c r="D95" i="2"/>
  <c r="AD95" i="2"/>
  <c r="K95" i="2"/>
  <c r="G95" i="2"/>
  <c r="J95" i="2"/>
  <c r="F95" i="2"/>
  <c r="B95" i="2"/>
  <c r="N95" i="2"/>
  <c r="E95" i="2"/>
  <c r="N94" i="1"/>
  <c r="E94" i="1"/>
  <c r="AE94" i="1"/>
  <c r="H94" i="1"/>
  <c r="AD94" i="1"/>
  <c r="G94" i="1"/>
  <c r="B94" i="1"/>
  <c r="C95" i="1"/>
  <c r="K94" i="1"/>
  <c r="F94" i="1"/>
  <c r="J94" i="1"/>
  <c r="D94" i="1"/>
  <c r="AB60" i="1"/>
  <c r="T63" i="1"/>
  <c r="X63" i="1" s="1"/>
  <c r="T64" i="2"/>
  <c r="AB63" i="2" l="1"/>
  <c r="AD96" i="2"/>
  <c r="K96" i="2"/>
  <c r="G96" i="2"/>
  <c r="J96" i="2"/>
  <c r="F96" i="2"/>
  <c r="B96" i="2"/>
  <c r="N96" i="2"/>
  <c r="E96" i="2"/>
  <c r="AE96" i="2"/>
  <c r="H96" i="2"/>
  <c r="C97" i="2"/>
  <c r="D96" i="2"/>
  <c r="T64" i="1"/>
  <c r="L63" i="1"/>
  <c r="AM63" i="1"/>
  <c r="Z63" i="1"/>
  <c r="C96" i="1"/>
  <c r="AE95" i="1"/>
  <c r="H95" i="1"/>
  <c r="D95" i="1"/>
  <c r="K95" i="1"/>
  <c r="F95" i="1"/>
  <c r="J95" i="1"/>
  <c r="E95" i="1"/>
  <c r="AD95" i="1"/>
  <c r="B95" i="1"/>
  <c r="N95" i="1"/>
  <c r="G95" i="1"/>
  <c r="AD97" i="2" l="1"/>
  <c r="J97" i="2"/>
  <c r="F97" i="2"/>
  <c r="B97" i="2"/>
  <c r="N97" i="2"/>
  <c r="E97" i="2"/>
  <c r="W97" i="2"/>
  <c r="H97" i="2"/>
  <c r="D97" i="2"/>
  <c r="K97" i="2"/>
  <c r="AE97" i="2"/>
  <c r="G97" i="2"/>
  <c r="C98" i="2"/>
  <c r="AB63" i="1"/>
  <c r="AD96" i="1"/>
  <c r="K96" i="1"/>
  <c r="G96" i="1"/>
  <c r="D96" i="1"/>
  <c r="AE96" i="1"/>
  <c r="N96" i="1"/>
  <c r="H96" i="1"/>
  <c r="B96" i="1"/>
  <c r="F96" i="1"/>
  <c r="J96" i="1"/>
  <c r="E96" i="1"/>
  <c r="C97" i="1"/>
  <c r="T66" i="2"/>
  <c r="T65" i="2"/>
  <c r="T67" i="2"/>
  <c r="AD98" i="2" l="1"/>
  <c r="J98" i="2"/>
  <c r="F98" i="2"/>
  <c r="B98" i="2"/>
  <c r="N98" i="2"/>
  <c r="E98" i="2"/>
  <c r="W98" i="2"/>
  <c r="H98" i="2"/>
  <c r="D98" i="2"/>
  <c r="K98" i="2"/>
  <c r="AE98" i="2"/>
  <c r="G98" i="2"/>
  <c r="C99" i="2"/>
  <c r="AD97" i="1"/>
  <c r="J97" i="1"/>
  <c r="F97" i="1"/>
  <c r="B97" i="1"/>
  <c r="AE97" i="1"/>
  <c r="G97" i="1"/>
  <c r="W97" i="1"/>
  <c r="K97" i="1"/>
  <c r="E97" i="1"/>
  <c r="C98" i="1"/>
  <c r="D97" i="1"/>
  <c r="N97" i="1"/>
  <c r="H97" i="1"/>
  <c r="T67" i="1"/>
  <c r="T65" i="1"/>
  <c r="T66" i="1"/>
  <c r="T68" i="2"/>
  <c r="AD99" i="2" l="1"/>
  <c r="J99" i="2"/>
  <c r="F99" i="2"/>
  <c r="B99" i="2"/>
  <c r="C100" i="2" s="1"/>
  <c r="N99" i="2"/>
  <c r="E99" i="2"/>
  <c r="H99" i="2"/>
  <c r="D99" i="2"/>
  <c r="K99" i="2"/>
  <c r="AE99" i="2"/>
  <c r="G99" i="2"/>
  <c r="T68" i="1"/>
  <c r="AD98" i="1"/>
  <c r="J98" i="1"/>
  <c r="F98" i="1"/>
  <c r="B98" i="1"/>
  <c r="N98" i="1"/>
  <c r="E98" i="1"/>
  <c r="AE98" i="1"/>
  <c r="G98" i="1"/>
  <c r="D98" i="1"/>
  <c r="K98" i="1"/>
  <c r="W98" i="1"/>
  <c r="C99" i="1"/>
  <c r="H98" i="1"/>
  <c r="T69" i="2"/>
  <c r="AF100" i="2"/>
  <c r="AG100" i="2" l="1"/>
  <c r="W100" i="2"/>
  <c r="H100" i="2"/>
  <c r="C101" i="2"/>
  <c r="E100" i="2"/>
  <c r="I100" i="2"/>
  <c r="AE100" i="2"/>
  <c r="N100" i="2"/>
  <c r="G100" i="2"/>
  <c r="B100" i="2"/>
  <c r="AD100" i="2"/>
  <c r="F100" i="2"/>
  <c r="T69" i="1"/>
  <c r="J99" i="1"/>
  <c r="F99" i="1"/>
  <c r="B99" i="1"/>
  <c r="N99" i="1"/>
  <c r="E99" i="1"/>
  <c r="AE99" i="1"/>
  <c r="H99" i="1"/>
  <c r="AD99" i="1"/>
  <c r="G99" i="1"/>
  <c r="D99" i="1"/>
  <c r="C100" i="1"/>
  <c r="K99" i="1"/>
  <c r="T70" i="2"/>
  <c r="AF100" i="1"/>
  <c r="N101" i="2" l="1"/>
  <c r="E101" i="2"/>
  <c r="C102" i="2"/>
  <c r="AE101" i="2"/>
  <c r="H101" i="2"/>
  <c r="D101" i="2"/>
  <c r="K101" i="2"/>
  <c r="J101" i="2"/>
  <c r="B101" i="2"/>
  <c r="AD101" i="2"/>
  <c r="G101" i="2"/>
  <c r="F101" i="2"/>
  <c r="AG100" i="1"/>
  <c r="N100" i="1"/>
  <c r="I100" i="1"/>
  <c r="E100" i="1"/>
  <c r="W100" i="1"/>
  <c r="H100" i="1"/>
  <c r="C101" i="1"/>
  <c r="B100" i="1"/>
  <c r="AE100" i="1"/>
  <c r="G100" i="1"/>
  <c r="AD100" i="1"/>
  <c r="F100" i="1"/>
  <c r="T70" i="1"/>
  <c r="T71" i="2"/>
  <c r="C103" i="2" l="1"/>
  <c r="AE102" i="2"/>
  <c r="H102" i="2"/>
  <c r="D102" i="2"/>
  <c r="AD102" i="2"/>
  <c r="K102" i="2"/>
  <c r="G102" i="2"/>
  <c r="J102" i="2"/>
  <c r="F102" i="2"/>
  <c r="B102" i="2"/>
  <c r="N102" i="2"/>
  <c r="E102" i="2"/>
  <c r="T71" i="1"/>
  <c r="N101" i="1"/>
  <c r="E101" i="1"/>
  <c r="C102" i="1"/>
  <c r="AE101" i="1"/>
  <c r="H101" i="1"/>
  <c r="D101" i="1"/>
  <c r="K101" i="1"/>
  <c r="J101" i="1"/>
  <c r="B101" i="1"/>
  <c r="AD101" i="1"/>
  <c r="G101" i="1"/>
  <c r="F101" i="1"/>
  <c r="T72" i="2"/>
  <c r="AD103" i="2" l="1"/>
  <c r="K103" i="2"/>
  <c r="G103" i="2"/>
  <c r="J103" i="2"/>
  <c r="F103" i="2"/>
  <c r="B103" i="2"/>
  <c r="N103" i="2"/>
  <c r="E103" i="2"/>
  <c r="AE103" i="2"/>
  <c r="H103" i="2"/>
  <c r="C104" i="2"/>
  <c r="D103" i="2"/>
  <c r="T72" i="1"/>
  <c r="C103" i="1"/>
  <c r="AE102" i="1"/>
  <c r="H102" i="1"/>
  <c r="D102" i="1"/>
  <c r="AD102" i="1"/>
  <c r="K102" i="1"/>
  <c r="G102" i="1"/>
  <c r="J102" i="1"/>
  <c r="F102" i="1"/>
  <c r="B102" i="1"/>
  <c r="N102" i="1"/>
  <c r="E102" i="1"/>
  <c r="T73" i="2"/>
  <c r="J104" i="2" l="1"/>
  <c r="F104" i="2"/>
  <c r="B104" i="2"/>
  <c r="N104" i="2"/>
  <c r="E104" i="2"/>
  <c r="C105" i="2"/>
  <c r="AE104" i="2"/>
  <c r="H104" i="2"/>
  <c r="D104" i="2"/>
  <c r="K104" i="2"/>
  <c r="AD104" i="2"/>
  <c r="G104" i="2"/>
  <c r="AD103" i="1"/>
  <c r="K103" i="1"/>
  <c r="G103" i="1"/>
  <c r="J103" i="1"/>
  <c r="F103" i="1"/>
  <c r="B103" i="1"/>
  <c r="N103" i="1"/>
  <c r="E103" i="1"/>
  <c r="AE103" i="1"/>
  <c r="H103" i="1"/>
  <c r="D103" i="1"/>
  <c r="C104" i="1"/>
  <c r="T73" i="1"/>
  <c r="T74" i="2"/>
  <c r="N105" i="2" l="1"/>
  <c r="E105" i="2"/>
  <c r="W105" i="2"/>
  <c r="H105" i="2"/>
  <c r="D105" i="2"/>
  <c r="C106" i="2"/>
  <c r="AE105" i="2"/>
  <c r="K105" i="2"/>
  <c r="G105" i="2"/>
  <c r="J105" i="2"/>
  <c r="AD105" i="2"/>
  <c r="F105" i="2"/>
  <c r="B105" i="2"/>
  <c r="T74" i="1"/>
  <c r="J104" i="1"/>
  <c r="F104" i="1"/>
  <c r="B104" i="1"/>
  <c r="N104" i="1"/>
  <c r="E104" i="1"/>
  <c r="C105" i="1"/>
  <c r="AE104" i="1"/>
  <c r="H104" i="1"/>
  <c r="D104" i="1"/>
  <c r="K104" i="1"/>
  <c r="AD104" i="1"/>
  <c r="G104" i="1"/>
  <c r="T75" i="2"/>
  <c r="N106" i="2" l="1"/>
  <c r="E106" i="2"/>
  <c r="C107" i="2"/>
  <c r="AE106" i="2"/>
  <c r="H106" i="2"/>
  <c r="D106" i="2"/>
  <c r="AD106" i="2"/>
  <c r="K106" i="2"/>
  <c r="G106" i="2"/>
  <c r="J106" i="2"/>
  <c r="F106" i="2"/>
  <c r="B106" i="2"/>
  <c r="T75" i="1"/>
  <c r="N105" i="1"/>
  <c r="E105" i="1"/>
  <c r="W105" i="1"/>
  <c r="H105" i="1"/>
  <c r="D105" i="1"/>
  <c r="C106" i="1"/>
  <c r="AE105" i="1"/>
  <c r="K105" i="1"/>
  <c r="G105" i="1"/>
  <c r="J105" i="1"/>
  <c r="AD105" i="1"/>
  <c r="F105" i="1"/>
  <c r="B105" i="1"/>
  <c r="T76" i="2"/>
  <c r="C108" i="2" l="1"/>
  <c r="AE107" i="2"/>
  <c r="H107" i="2"/>
  <c r="D107" i="2"/>
  <c r="AD107" i="2"/>
  <c r="K107" i="2"/>
  <c r="G107" i="2"/>
  <c r="J107" i="2"/>
  <c r="F107" i="2"/>
  <c r="B107" i="2"/>
  <c r="N107" i="2"/>
  <c r="E107" i="2"/>
  <c r="N106" i="1"/>
  <c r="E106" i="1"/>
  <c r="C107" i="1"/>
  <c r="AE106" i="1"/>
  <c r="H106" i="1"/>
  <c r="D106" i="1"/>
  <c r="AD106" i="1"/>
  <c r="K106" i="1"/>
  <c r="G106" i="1"/>
  <c r="J106" i="1"/>
  <c r="F106" i="1"/>
  <c r="B106" i="1"/>
  <c r="T76" i="1"/>
  <c r="T77" i="2"/>
  <c r="AD108" i="2" l="1"/>
  <c r="K108" i="2"/>
  <c r="G108" i="2"/>
  <c r="J108" i="2"/>
  <c r="F108" i="2"/>
  <c r="B108" i="2"/>
  <c r="N108" i="2"/>
  <c r="E108" i="2"/>
  <c r="AE108" i="2"/>
  <c r="H108" i="2"/>
  <c r="C109" i="2"/>
  <c r="D108" i="2"/>
  <c r="T77" i="1"/>
  <c r="C108" i="1"/>
  <c r="AE107" i="1"/>
  <c r="H107" i="1"/>
  <c r="D107" i="1"/>
  <c r="AD107" i="1"/>
  <c r="K107" i="1"/>
  <c r="G107" i="1"/>
  <c r="J107" i="1"/>
  <c r="F107" i="1"/>
  <c r="B107" i="1"/>
  <c r="N107" i="1"/>
  <c r="E107" i="1"/>
  <c r="T78" i="2"/>
  <c r="J109" i="2" l="1"/>
  <c r="F109" i="2"/>
  <c r="B109" i="2"/>
  <c r="N109" i="2"/>
  <c r="E109" i="2"/>
  <c r="C110" i="2"/>
  <c r="AE109" i="2"/>
  <c r="H109" i="2"/>
  <c r="D109" i="2"/>
  <c r="K109" i="2"/>
  <c r="AD109" i="2"/>
  <c r="G109" i="2"/>
  <c r="T78" i="1"/>
  <c r="N108" i="1"/>
  <c r="E108" i="1"/>
  <c r="AE108" i="1"/>
  <c r="H108" i="1"/>
  <c r="AD108" i="1"/>
  <c r="G108" i="1"/>
  <c r="B108" i="1"/>
  <c r="C109" i="1"/>
  <c r="K108" i="1"/>
  <c r="F108" i="1"/>
  <c r="J108" i="1"/>
  <c r="D108" i="1"/>
  <c r="T79" i="2"/>
  <c r="N110" i="2" l="1"/>
  <c r="E110" i="2"/>
  <c r="C111" i="2"/>
  <c r="AE110" i="2"/>
  <c r="H110" i="2"/>
  <c r="D110" i="2"/>
  <c r="AD110" i="2"/>
  <c r="K110" i="2"/>
  <c r="G110" i="2"/>
  <c r="J110" i="2"/>
  <c r="F110" i="2"/>
  <c r="B110" i="2"/>
  <c r="T79" i="1"/>
  <c r="C110" i="1"/>
  <c r="AE109" i="1"/>
  <c r="H109" i="1"/>
  <c r="D109" i="1"/>
  <c r="AD109" i="1"/>
  <c r="K109" i="1"/>
  <c r="F109" i="1"/>
  <c r="J109" i="1"/>
  <c r="E109" i="1"/>
  <c r="G109" i="1"/>
  <c r="B109" i="1"/>
  <c r="N109" i="1"/>
  <c r="T80" i="2"/>
  <c r="C112" i="2" l="1"/>
  <c r="AE111" i="2"/>
  <c r="H111" i="2"/>
  <c r="D111" i="2"/>
  <c r="AD111" i="2"/>
  <c r="K111" i="2"/>
  <c r="G111" i="2"/>
  <c r="J111" i="2"/>
  <c r="F111" i="2"/>
  <c r="B111" i="2"/>
  <c r="N111" i="2"/>
  <c r="E111" i="2"/>
  <c r="T80" i="1"/>
  <c r="AD110" i="1"/>
  <c r="K110" i="1"/>
  <c r="G110" i="1"/>
  <c r="J110" i="1"/>
  <c r="F110" i="1"/>
  <c r="B110" i="1"/>
  <c r="D110" i="1"/>
  <c r="C111" i="1"/>
  <c r="AE110" i="1"/>
  <c r="H110" i="1"/>
  <c r="N110" i="1"/>
  <c r="E110" i="1"/>
  <c r="T81" i="2"/>
  <c r="AD112" i="2" l="1"/>
  <c r="K112" i="2"/>
  <c r="G112" i="2"/>
  <c r="J112" i="2"/>
  <c r="F112" i="2"/>
  <c r="B112" i="2"/>
  <c r="N112" i="2"/>
  <c r="E112" i="2"/>
  <c r="AE112" i="2"/>
  <c r="H112" i="2"/>
  <c r="C113" i="2"/>
  <c r="D112" i="2"/>
  <c r="J111" i="1"/>
  <c r="F111" i="1"/>
  <c r="B111" i="1"/>
  <c r="N111" i="1"/>
  <c r="E111" i="1"/>
  <c r="D111" i="1"/>
  <c r="C112" i="1"/>
  <c r="K111" i="1"/>
  <c r="AE111" i="1"/>
  <c r="H111" i="1"/>
  <c r="AD111" i="1"/>
  <c r="G111" i="1"/>
  <c r="T81" i="1"/>
  <c r="J113" i="2" l="1"/>
  <c r="F113" i="2"/>
  <c r="B113" i="2"/>
  <c r="C114" i="2" s="1"/>
  <c r="N113" i="2"/>
  <c r="E113" i="2"/>
  <c r="AE113" i="2"/>
  <c r="H113" i="2"/>
  <c r="D113" i="2"/>
  <c r="K113" i="2"/>
  <c r="AD113" i="2"/>
  <c r="G113" i="2"/>
  <c r="N112" i="1"/>
  <c r="E112" i="1"/>
  <c r="C113" i="1"/>
  <c r="AE112" i="1"/>
  <c r="H112" i="1"/>
  <c r="D112" i="1"/>
  <c r="F112" i="1"/>
  <c r="K112" i="1"/>
  <c r="J112" i="1"/>
  <c r="B112" i="1"/>
  <c r="AD112" i="1"/>
  <c r="G112" i="1"/>
  <c r="T82" i="2"/>
  <c r="AF114" i="2"/>
  <c r="T83" i="2" l="1"/>
  <c r="T84" i="2"/>
  <c r="AG114" i="2"/>
  <c r="N114" i="2"/>
  <c r="I114" i="2"/>
  <c r="E114" i="2"/>
  <c r="W114" i="2"/>
  <c r="H114" i="2"/>
  <c r="C115" i="2"/>
  <c r="AE114" i="2"/>
  <c r="G114" i="2"/>
  <c r="AD114" i="2"/>
  <c r="F114" i="2"/>
  <c r="B114" i="2"/>
  <c r="T82" i="1"/>
  <c r="AE113" i="1"/>
  <c r="H113" i="1"/>
  <c r="D113" i="1"/>
  <c r="AD113" i="1"/>
  <c r="K113" i="1"/>
  <c r="G113" i="1"/>
  <c r="F113" i="1"/>
  <c r="N113" i="1"/>
  <c r="E113" i="1"/>
  <c r="J113" i="1"/>
  <c r="B113" i="1"/>
  <c r="C114" i="1" s="1"/>
  <c r="AF114" i="1"/>
  <c r="T83" i="1" l="1"/>
  <c r="N115" i="2"/>
  <c r="E115" i="2"/>
  <c r="C116" i="2"/>
  <c r="AE115" i="2"/>
  <c r="H115" i="2"/>
  <c r="D115" i="2"/>
  <c r="AD115" i="2"/>
  <c r="K115" i="2"/>
  <c r="G115" i="2"/>
  <c r="J115" i="2"/>
  <c r="F115" i="2"/>
  <c r="B115" i="2"/>
  <c r="AG114" i="1"/>
  <c r="C115" i="1"/>
  <c r="AE114" i="1"/>
  <c r="G114" i="1"/>
  <c r="AD114" i="1"/>
  <c r="F114" i="1"/>
  <c r="B114" i="1"/>
  <c r="I114" i="1"/>
  <c r="W114" i="1"/>
  <c r="H114" i="1"/>
  <c r="N114" i="1"/>
  <c r="E114" i="1"/>
  <c r="T84" i="1"/>
  <c r="C117" i="2" l="1"/>
  <c r="AE116" i="2"/>
  <c r="H116" i="2"/>
  <c r="D116" i="2"/>
  <c r="AD116" i="2"/>
  <c r="K116" i="2"/>
  <c r="G116" i="2"/>
  <c r="J116" i="2"/>
  <c r="F116" i="2"/>
  <c r="B116" i="2"/>
  <c r="N116" i="2"/>
  <c r="E116" i="2"/>
  <c r="AD115" i="1"/>
  <c r="K115" i="1"/>
  <c r="G115" i="1"/>
  <c r="J115" i="1"/>
  <c r="F115" i="1"/>
  <c r="B115" i="1"/>
  <c r="AE115" i="1"/>
  <c r="H115" i="1"/>
  <c r="N115" i="1"/>
  <c r="E115" i="1"/>
  <c r="D115" i="1"/>
  <c r="C116" i="1"/>
  <c r="AD117" i="2" l="1"/>
  <c r="K117" i="2"/>
  <c r="G117" i="2"/>
  <c r="J117" i="2"/>
  <c r="F117" i="2"/>
  <c r="B117" i="2"/>
  <c r="N117" i="2"/>
  <c r="E117" i="2"/>
  <c r="AE117" i="2"/>
  <c r="H117" i="2"/>
  <c r="C118" i="2"/>
  <c r="D117" i="2"/>
  <c r="J116" i="1"/>
  <c r="F116" i="1"/>
  <c r="B116" i="1"/>
  <c r="N116" i="1"/>
  <c r="E116" i="1"/>
  <c r="AE116" i="1"/>
  <c r="H116" i="1"/>
  <c r="AD116" i="1"/>
  <c r="G116" i="1"/>
  <c r="D116" i="1"/>
  <c r="C117" i="1"/>
  <c r="K116" i="1"/>
  <c r="C119" i="2" l="1"/>
  <c r="J118" i="2"/>
  <c r="F118" i="2"/>
  <c r="B118" i="2"/>
  <c r="N118" i="2"/>
  <c r="E118" i="2"/>
  <c r="AE118" i="2"/>
  <c r="H118" i="2"/>
  <c r="D118" i="2"/>
  <c r="K118" i="2"/>
  <c r="AD118" i="2"/>
  <c r="G118" i="2"/>
  <c r="N117" i="1"/>
  <c r="E117" i="1"/>
  <c r="C118" i="1"/>
  <c r="AE117" i="1"/>
  <c r="H117" i="1"/>
  <c r="D117" i="1"/>
  <c r="J117" i="1"/>
  <c r="B117" i="1"/>
  <c r="G117" i="1"/>
  <c r="AD117" i="1"/>
  <c r="F117" i="1"/>
  <c r="K117" i="1"/>
  <c r="AD119" i="2" l="1"/>
  <c r="J119" i="2"/>
  <c r="F119" i="2"/>
  <c r="B119" i="2"/>
  <c r="N119" i="2"/>
  <c r="H119" i="2"/>
  <c r="G119" i="2"/>
  <c r="C120" i="2"/>
  <c r="K119" i="2"/>
  <c r="E119" i="2"/>
  <c r="D119" i="2"/>
  <c r="AE119" i="2"/>
  <c r="N118" i="1"/>
  <c r="E118" i="1"/>
  <c r="C119" i="1"/>
  <c r="AE118" i="1"/>
  <c r="H118" i="1"/>
  <c r="D118" i="1"/>
  <c r="AD118" i="1"/>
  <c r="K118" i="1"/>
  <c r="G118" i="1"/>
  <c r="J118" i="1"/>
  <c r="F118" i="1"/>
  <c r="B118" i="1"/>
  <c r="T85" i="2"/>
  <c r="J120" i="2" l="1"/>
  <c r="F120" i="2"/>
  <c r="B120" i="2"/>
  <c r="N120" i="2"/>
  <c r="E120" i="2"/>
  <c r="AD120" i="2"/>
  <c r="G120" i="2"/>
  <c r="D120" i="2"/>
  <c r="C121" i="2"/>
  <c r="K120" i="2"/>
  <c r="H120" i="2"/>
  <c r="AE120" i="2"/>
  <c r="C120" i="1"/>
  <c r="AE119" i="1"/>
  <c r="H119" i="1"/>
  <c r="D119" i="1"/>
  <c r="AD119" i="1"/>
  <c r="K119" i="1"/>
  <c r="G119" i="1"/>
  <c r="J119" i="1"/>
  <c r="F119" i="1"/>
  <c r="B119" i="1"/>
  <c r="N119" i="1"/>
  <c r="E119" i="1"/>
  <c r="T85" i="1"/>
  <c r="T86" i="2"/>
  <c r="N121" i="2" l="1"/>
  <c r="E121" i="2"/>
  <c r="C122" i="2"/>
  <c r="AE121" i="2"/>
  <c r="H121" i="2"/>
  <c r="D121" i="2"/>
  <c r="AD121" i="2"/>
  <c r="G121" i="2"/>
  <c r="F121" i="2"/>
  <c r="K121" i="2"/>
  <c r="J121" i="2"/>
  <c r="B121" i="2"/>
  <c r="T86" i="1"/>
  <c r="AD120" i="1"/>
  <c r="K120" i="1"/>
  <c r="G120" i="1"/>
  <c r="J120" i="1"/>
  <c r="F120" i="1"/>
  <c r="B120" i="1"/>
  <c r="N120" i="1"/>
  <c r="E120" i="1"/>
  <c r="AE120" i="1"/>
  <c r="H120" i="1"/>
  <c r="D120" i="1"/>
  <c r="C121" i="1"/>
  <c r="T87" i="2"/>
  <c r="C123" i="2" l="1"/>
  <c r="AE122" i="2"/>
  <c r="H122" i="2"/>
  <c r="D122" i="2"/>
  <c r="AD122" i="2"/>
  <c r="K122" i="2"/>
  <c r="G122" i="2"/>
  <c r="J122" i="2"/>
  <c r="B122" i="2"/>
  <c r="F122" i="2"/>
  <c r="E122" i="2"/>
  <c r="N122" i="2"/>
  <c r="T87" i="1"/>
  <c r="J121" i="1"/>
  <c r="F121" i="1"/>
  <c r="B121" i="1"/>
  <c r="N121" i="1"/>
  <c r="E121" i="1"/>
  <c r="C122" i="1"/>
  <c r="AE121" i="1"/>
  <c r="H121" i="1"/>
  <c r="D121" i="1"/>
  <c r="K121" i="1"/>
  <c r="AD121" i="1"/>
  <c r="G121" i="1"/>
  <c r="T88" i="2"/>
  <c r="AD123" i="2" l="1"/>
  <c r="K123" i="2"/>
  <c r="G123" i="2"/>
  <c r="J123" i="2"/>
  <c r="F123" i="2"/>
  <c r="B123" i="2"/>
  <c r="N123" i="2"/>
  <c r="E123" i="2"/>
  <c r="D123" i="2"/>
  <c r="C124" i="2"/>
  <c r="AE123" i="2"/>
  <c r="H123" i="2"/>
  <c r="N122" i="1"/>
  <c r="E122" i="1"/>
  <c r="C123" i="1"/>
  <c r="AE122" i="1"/>
  <c r="H122" i="1"/>
  <c r="D122" i="1"/>
  <c r="AD122" i="1"/>
  <c r="K122" i="1"/>
  <c r="G122" i="1"/>
  <c r="J122" i="1"/>
  <c r="F122" i="1"/>
  <c r="B122" i="1"/>
  <c r="T88" i="1"/>
  <c r="T89" i="2"/>
  <c r="C125" i="2" l="1"/>
  <c r="AE124" i="2"/>
  <c r="J124" i="2"/>
  <c r="F124" i="2"/>
  <c r="B124" i="2"/>
  <c r="N124" i="2"/>
  <c r="E124" i="2"/>
  <c r="AD124" i="2"/>
  <c r="G124" i="2"/>
  <c r="D124" i="2"/>
  <c r="K124" i="2"/>
  <c r="H124" i="2"/>
  <c r="C124" i="1"/>
  <c r="AE123" i="1"/>
  <c r="H123" i="1"/>
  <c r="D123" i="1"/>
  <c r="AD123" i="1"/>
  <c r="K123" i="1"/>
  <c r="G123" i="1"/>
  <c r="J123" i="1"/>
  <c r="F123" i="1"/>
  <c r="B123" i="1"/>
  <c r="N123" i="1"/>
  <c r="E123" i="1"/>
  <c r="T89" i="1"/>
  <c r="T90" i="2"/>
  <c r="AD125" i="2" l="1"/>
  <c r="K125" i="2"/>
  <c r="G125" i="2"/>
  <c r="C126" i="2"/>
  <c r="D125" i="2"/>
  <c r="AE125" i="2"/>
  <c r="N125" i="2"/>
  <c r="H125" i="2"/>
  <c r="B125" i="2"/>
  <c r="E125" i="2"/>
  <c r="J125" i="2"/>
  <c r="F125" i="2"/>
  <c r="AD124" i="1"/>
  <c r="K124" i="1"/>
  <c r="G124" i="1"/>
  <c r="J124" i="1"/>
  <c r="F124" i="1"/>
  <c r="B124" i="1"/>
  <c r="N124" i="1"/>
  <c r="E124" i="1"/>
  <c r="AE124" i="1"/>
  <c r="H124" i="1"/>
  <c r="D124" i="1"/>
  <c r="C125" i="1"/>
  <c r="T90" i="1"/>
  <c r="J126" i="2" l="1"/>
  <c r="F126" i="2"/>
  <c r="B126" i="2"/>
  <c r="AE126" i="2"/>
  <c r="N126" i="2"/>
  <c r="H126" i="2"/>
  <c r="C127" i="2"/>
  <c r="AD126" i="2"/>
  <c r="G126" i="2"/>
  <c r="K126" i="2"/>
  <c r="E126" i="2"/>
  <c r="D126" i="2"/>
  <c r="C126" i="1"/>
  <c r="J125" i="1"/>
  <c r="F125" i="1"/>
  <c r="B125" i="1"/>
  <c r="N125" i="1"/>
  <c r="E125" i="1"/>
  <c r="AE125" i="1"/>
  <c r="H125" i="1"/>
  <c r="D125" i="1"/>
  <c r="K125" i="1"/>
  <c r="AD125" i="1"/>
  <c r="G125" i="1"/>
  <c r="T91" i="2"/>
  <c r="N127" i="2" l="1"/>
  <c r="E127" i="2"/>
  <c r="J127" i="2"/>
  <c r="D127" i="2"/>
  <c r="C128" i="2"/>
  <c r="AE127" i="2"/>
  <c r="H127" i="2"/>
  <c r="AD127" i="2"/>
  <c r="G127" i="2"/>
  <c r="B127" i="2"/>
  <c r="K127" i="2"/>
  <c r="F127" i="2"/>
  <c r="T91" i="1"/>
  <c r="C127" i="1"/>
  <c r="AE126" i="1"/>
  <c r="H126" i="1"/>
  <c r="D126" i="1"/>
  <c r="AD126" i="1"/>
  <c r="N126" i="1"/>
  <c r="G126" i="1"/>
  <c r="B126" i="1"/>
  <c r="K126" i="1"/>
  <c r="F126" i="1"/>
  <c r="J126" i="1"/>
  <c r="E126" i="1"/>
  <c r="T92" i="2"/>
  <c r="C129" i="2" l="1"/>
  <c r="AE128" i="2"/>
  <c r="H128" i="2"/>
  <c r="D128" i="2"/>
  <c r="J128" i="2"/>
  <c r="F128" i="2"/>
  <c r="B128" i="2"/>
  <c r="N128" i="2"/>
  <c r="E128" i="2"/>
  <c r="K128" i="2"/>
  <c r="G128" i="2"/>
  <c r="AD128" i="2"/>
  <c r="C128" i="1"/>
  <c r="AD127" i="1"/>
  <c r="K127" i="1"/>
  <c r="G127" i="1"/>
  <c r="F127" i="1"/>
  <c r="J127" i="1"/>
  <c r="E127" i="1"/>
  <c r="D127" i="1"/>
  <c r="H127" i="1"/>
  <c r="AE127" i="1"/>
  <c r="B127" i="1"/>
  <c r="N127" i="1"/>
  <c r="T92" i="1"/>
  <c r="AD129" i="2" l="1"/>
  <c r="K129" i="2"/>
  <c r="G129" i="2"/>
  <c r="N129" i="2"/>
  <c r="E129" i="2"/>
  <c r="F129" i="2"/>
  <c r="D129" i="2"/>
  <c r="J129" i="2"/>
  <c r="B129" i="2"/>
  <c r="C130" i="2"/>
  <c r="H129" i="2"/>
  <c r="AE129" i="2"/>
  <c r="C129" i="1"/>
  <c r="AE128" i="1"/>
  <c r="H128" i="1"/>
  <c r="D128" i="1"/>
  <c r="AD128" i="1"/>
  <c r="K128" i="1"/>
  <c r="G128" i="1"/>
  <c r="J128" i="1"/>
  <c r="F128" i="1"/>
  <c r="B128" i="1"/>
  <c r="N128" i="1"/>
  <c r="E128" i="1"/>
  <c r="T93" i="2"/>
  <c r="J130" i="2" l="1"/>
  <c r="F130" i="2"/>
  <c r="B130" i="2"/>
  <c r="C131" i="2" s="1"/>
  <c r="AE130" i="2"/>
  <c r="H130" i="2"/>
  <c r="D130" i="2"/>
  <c r="AD130" i="2"/>
  <c r="G130" i="2"/>
  <c r="N130" i="2"/>
  <c r="E130" i="2"/>
  <c r="K130" i="2"/>
  <c r="T93" i="1"/>
  <c r="AD129" i="1"/>
  <c r="K129" i="1"/>
  <c r="G129" i="1"/>
  <c r="J129" i="1"/>
  <c r="F129" i="1"/>
  <c r="B129" i="1"/>
  <c r="N129" i="1"/>
  <c r="E129" i="1"/>
  <c r="AE129" i="1"/>
  <c r="H129" i="1"/>
  <c r="C130" i="1"/>
  <c r="D129" i="1"/>
  <c r="T94" i="2"/>
  <c r="AF131" i="2"/>
  <c r="AG131" i="2" l="1"/>
  <c r="N131" i="2"/>
  <c r="I131" i="2"/>
  <c r="E131" i="2"/>
  <c r="C132" i="2"/>
  <c r="AE131" i="2"/>
  <c r="G131" i="2"/>
  <c r="B131" i="2"/>
  <c r="W131" i="2"/>
  <c r="H131" i="2"/>
  <c r="AD131" i="2"/>
  <c r="F131" i="2"/>
  <c r="T94" i="1"/>
  <c r="J130" i="1"/>
  <c r="F130" i="1"/>
  <c r="B130" i="1"/>
  <c r="C131" i="1" s="1"/>
  <c r="N130" i="1"/>
  <c r="E130" i="1"/>
  <c r="AE130" i="1"/>
  <c r="H130" i="1"/>
  <c r="D130" i="1"/>
  <c r="K130" i="1"/>
  <c r="AD130" i="1"/>
  <c r="G130" i="1"/>
  <c r="T95" i="2"/>
  <c r="AF131" i="1"/>
  <c r="N132" i="2" l="1"/>
  <c r="E132" i="2"/>
  <c r="AD132" i="2"/>
  <c r="K132" i="2"/>
  <c r="G132" i="2"/>
  <c r="D132" i="2"/>
  <c r="J132" i="2"/>
  <c r="B132" i="2"/>
  <c r="C133" i="2"/>
  <c r="AE132" i="2"/>
  <c r="H132" i="2"/>
  <c r="F132" i="2"/>
  <c r="AG131" i="1"/>
  <c r="T95" i="1"/>
  <c r="N131" i="1"/>
  <c r="I131" i="1"/>
  <c r="E131" i="1"/>
  <c r="W131" i="1"/>
  <c r="H131" i="1"/>
  <c r="C132" i="1"/>
  <c r="AE131" i="1"/>
  <c r="G131" i="1"/>
  <c r="AD131" i="1"/>
  <c r="F131" i="1"/>
  <c r="B131" i="1"/>
  <c r="T96" i="2"/>
  <c r="J133" i="2" l="1"/>
  <c r="F133" i="2"/>
  <c r="D133" i="2"/>
  <c r="C134" i="2"/>
  <c r="AD133" i="2"/>
  <c r="G133" i="2"/>
  <c r="B133" i="2"/>
  <c r="H133" i="2"/>
  <c r="E133" i="2"/>
  <c r="AE133" i="2"/>
  <c r="N133" i="2"/>
  <c r="K133" i="2"/>
  <c r="T96" i="1"/>
  <c r="N132" i="1"/>
  <c r="E132" i="1"/>
  <c r="C133" i="1"/>
  <c r="AE132" i="1"/>
  <c r="H132" i="1"/>
  <c r="D132" i="1"/>
  <c r="AD132" i="1"/>
  <c r="K132" i="1"/>
  <c r="G132" i="1"/>
  <c r="J132" i="1"/>
  <c r="F132" i="1"/>
  <c r="B132" i="1"/>
  <c r="T97" i="2"/>
  <c r="X97" i="2" s="1"/>
  <c r="L97" i="2" l="1"/>
  <c r="AM97" i="2"/>
  <c r="Z97" i="2"/>
  <c r="W134" i="2"/>
  <c r="H134" i="2"/>
  <c r="D134" i="2"/>
  <c r="AD134" i="2"/>
  <c r="K134" i="2"/>
  <c r="F134" i="2"/>
  <c r="E134" i="2"/>
  <c r="N134" i="2"/>
  <c r="B134" i="2"/>
  <c r="C135" i="2" s="1"/>
  <c r="J134" i="2"/>
  <c r="AE134" i="2"/>
  <c r="G134" i="2"/>
  <c r="T97" i="1"/>
  <c r="X97" i="1" s="1"/>
  <c r="J133" i="1"/>
  <c r="F133" i="1"/>
  <c r="D133" i="1"/>
  <c r="AE133" i="1"/>
  <c r="N133" i="1"/>
  <c r="H133" i="1"/>
  <c r="C134" i="1"/>
  <c r="AD133" i="1"/>
  <c r="G133" i="1"/>
  <c r="B133" i="1"/>
  <c r="K133" i="1"/>
  <c r="E133" i="1"/>
  <c r="T98" i="2"/>
  <c r="X98" i="2" s="1"/>
  <c r="AF135" i="2"/>
  <c r="AG135" i="2" l="1"/>
  <c r="W135" i="2"/>
  <c r="H135" i="2"/>
  <c r="C136" i="2"/>
  <c r="E135" i="2"/>
  <c r="I135" i="2"/>
  <c r="AE135" i="2"/>
  <c r="N135" i="2"/>
  <c r="G135" i="2"/>
  <c r="B135" i="2"/>
  <c r="F135" i="2"/>
  <c r="AD135" i="2"/>
  <c r="L98" i="2"/>
  <c r="AM98" i="2"/>
  <c r="Z98" i="2"/>
  <c r="AB97" i="2"/>
  <c r="W134" i="1"/>
  <c r="H134" i="1"/>
  <c r="D134" i="1"/>
  <c r="AD134" i="1"/>
  <c r="K134" i="1"/>
  <c r="F134" i="1"/>
  <c r="J134" i="1"/>
  <c r="E134" i="1"/>
  <c r="N134" i="1"/>
  <c r="G134" i="1"/>
  <c r="AE134" i="1"/>
  <c r="B134" i="1"/>
  <c r="C135" i="1" s="1"/>
  <c r="L97" i="1"/>
  <c r="AM97" i="1"/>
  <c r="Z97" i="1"/>
  <c r="T98" i="1"/>
  <c r="X98" i="1" s="1"/>
  <c r="T99" i="2"/>
  <c r="AF135" i="1"/>
  <c r="AB98" i="2" l="1"/>
  <c r="N136" i="2"/>
  <c r="E136" i="2"/>
  <c r="W136" i="2"/>
  <c r="H136" i="2"/>
  <c r="D136" i="2"/>
  <c r="K136" i="2"/>
  <c r="C137" i="2"/>
  <c r="J136" i="2"/>
  <c r="B136" i="2"/>
  <c r="AE136" i="2"/>
  <c r="G136" i="2"/>
  <c r="AD136" i="2"/>
  <c r="F136" i="2"/>
  <c r="AG135" i="1"/>
  <c r="W135" i="1"/>
  <c r="H135" i="1"/>
  <c r="C136" i="1"/>
  <c r="E135" i="1"/>
  <c r="I135" i="1"/>
  <c r="AE135" i="1"/>
  <c r="N135" i="1"/>
  <c r="G135" i="1"/>
  <c r="B135" i="1"/>
  <c r="F135" i="1"/>
  <c r="AD135" i="1"/>
  <c r="AB97" i="1"/>
  <c r="L98" i="1"/>
  <c r="AM98" i="1"/>
  <c r="Z98" i="1"/>
  <c r="T99" i="1"/>
  <c r="N137" i="2" l="1"/>
  <c r="E137" i="2"/>
  <c r="C138" i="2"/>
  <c r="AE137" i="2"/>
  <c r="H137" i="2"/>
  <c r="D137" i="2"/>
  <c r="AD137" i="2"/>
  <c r="F137" i="2"/>
  <c r="K137" i="2"/>
  <c r="J137" i="2"/>
  <c r="B137" i="2"/>
  <c r="G137" i="2"/>
  <c r="W136" i="1"/>
  <c r="H136" i="1"/>
  <c r="D136" i="1"/>
  <c r="C137" i="1"/>
  <c r="AE136" i="1"/>
  <c r="K136" i="1"/>
  <c r="G136" i="1"/>
  <c r="J136" i="1"/>
  <c r="B136" i="1"/>
  <c r="AD136" i="1"/>
  <c r="F136" i="1"/>
  <c r="N136" i="1"/>
  <c r="E136" i="1"/>
  <c r="AB98" i="1"/>
  <c r="T100" i="2"/>
  <c r="AE138" i="2" l="1"/>
  <c r="H138" i="2"/>
  <c r="D138" i="2"/>
  <c r="AD138" i="2"/>
  <c r="K138" i="2"/>
  <c r="G138" i="2"/>
  <c r="J138" i="2"/>
  <c r="F138" i="2"/>
  <c r="B138" i="2"/>
  <c r="C139" i="2" s="1"/>
  <c r="N138" i="2"/>
  <c r="E138" i="2"/>
  <c r="T100" i="1"/>
  <c r="N137" i="1"/>
  <c r="E137" i="1"/>
  <c r="C138" i="1"/>
  <c r="AE137" i="1"/>
  <c r="H137" i="1"/>
  <c r="D137" i="1"/>
  <c r="AD137" i="1"/>
  <c r="K137" i="1"/>
  <c r="G137" i="1"/>
  <c r="J137" i="1"/>
  <c r="F137" i="1"/>
  <c r="B137" i="1"/>
  <c r="T101" i="2"/>
  <c r="AF139" i="2"/>
  <c r="AG139" i="2" l="1"/>
  <c r="C140" i="2"/>
  <c r="AE139" i="2"/>
  <c r="G139" i="2"/>
  <c r="AD139" i="2"/>
  <c r="F139" i="2"/>
  <c r="B139" i="2"/>
  <c r="N139" i="2"/>
  <c r="I139" i="2"/>
  <c r="E139" i="2"/>
  <c r="W139" i="2"/>
  <c r="H139" i="2"/>
  <c r="AE138" i="1"/>
  <c r="H138" i="1"/>
  <c r="D138" i="1"/>
  <c r="AD138" i="1"/>
  <c r="K138" i="1"/>
  <c r="G138" i="1"/>
  <c r="J138" i="1"/>
  <c r="F138" i="1"/>
  <c r="B138" i="1"/>
  <c r="C139" i="1" s="1"/>
  <c r="N138" i="1"/>
  <c r="E138" i="1"/>
  <c r="T101" i="1"/>
  <c r="T102" i="2"/>
  <c r="AF139" i="1"/>
  <c r="AD140" i="2" l="1"/>
  <c r="K140" i="2"/>
  <c r="G140" i="2"/>
  <c r="J140" i="2"/>
  <c r="F140" i="2"/>
  <c r="B140" i="2"/>
  <c r="N140" i="2"/>
  <c r="E140" i="2"/>
  <c r="AE140" i="2"/>
  <c r="H140" i="2"/>
  <c r="D140" i="2"/>
  <c r="C141" i="2"/>
  <c r="AG139" i="1"/>
  <c r="C140" i="1"/>
  <c r="AE139" i="1"/>
  <c r="G139" i="1"/>
  <c r="AD139" i="1"/>
  <c r="F139" i="1"/>
  <c r="B139" i="1"/>
  <c r="N139" i="1"/>
  <c r="I139" i="1"/>
  <c r="E139" i="1"/>
  <c r="W139" i="1"/>
  <c r="H139" i="1"/>
  <c r="T102" i="1"/>
  <c r="T103" i="2"/>
  <c r="J141" i="2" l="1"/>
  <c r="F141" i="2"/>
  <c r="B141" i="2"/>
  <c r="C142" i="2" s="1"/>
  <c r="N141" i="2"/>
  <c r="E141" i="2"/>
  <c r="AE141" i="2"/>
  <c r="H141" i="2"/>
  <c r="D141" i="2"/>
  <c r="K141" i="2"/>
  <c r="AD141" i="2"/>
  <c r="G141" i="2"/>
  <c r="AD140" i="1"/>
  <c r="K140" i="1"/>
  <c r="G140" i="1"/>
  <c r="J140" i="1"/>
  <c r="F140" i="1"/>
  <c r="B140" i="1"/>
  <c r="N140" i="1"/>
  <c r="E140" i="1"/>
  <c r="AE140" i="1"/>
  <c r="H140" i="1"/>
  <c r="D140" i="1"/>
  <c r="C141" i="1"/>
  <c r="T103" i="1"/>
  <c r="T104" i="2"/>
  <c r="AF142" i="2"/>
  <c r="AG142" i="2" l="1"/>
  <c r="N142" i="2"/>
  <c r="I142" i="2"/>
  <c r="E142" i="2"/>
  <c r="W142" i="2"/>
  <c r="H142" i="2"/>
  <c r="C143" i="2"/>
  <c r="AE142" i="2"/>
  <c r="G142" i="2"/>
  <c r="K139" i="2" s="1"/>
  <c r="AD142" i="2"/>
  <c r="F142" i="2"/>
  <c r="B142" i="2"/>
  <c r="T104" i="1"/>
  <c r="J141" i="1"/>
  <c r="F141" i="1"/>
  <c r="B141" i="1"/>
  <c r="C142" i="1" s="1"/>
  <c r="N141" i="1"/>
  <c r="E141" i="1"/>
  <c r="AE141" i="1"/>
  <c r="H141" i="1"/>
  <c r="D141" i="1"/>
  <c r="K141" i="1"/>
  <c r="AD141" i="1"/>
  <c r="G141" i="1"/>
  <c r="T105" i="2"/>
  <c r="X105" i="2" s="1"/>
  <c r="AF142" i="1"/>
  <c r="L105" i="2" l="1"/>
  <c r="AM105" i="2"/>
  <c r="Z105" i="2"/>
  <c r="N143" i="2"/>
  <c r="E143" i="2"/>
  <c r="C144" i="2"/>
  <c r="AE143" i="2"/>
  <c r="H143" i="2"/>
  <c r="D143" i="2"/>
  <c r="AD143" i="2"/>
  <c r="K143" i="2"/>
  <c r="G143" i="2"/>
  <c r="J143" i="2"/>
  <c r="F143" i="2"/>
  <c r="B143" i="2"/>
  <c r="AG142" i="1"/>
  <c r="N142" i="1"/>
  <c r="I142" i="1"/>
  <c r="E142" i="1"/>
  <c r="W142" i="1"/>
  <c r="H142" i="1"/>
  <c r="C143" i="1"/>
  <c r="AE142" i="1"/>
  <c r="G142" i="1"/>
  <c r="K139" i="1" s="1"/>
  <c r="AD142" i="1"/>
  <c r="F142" i="1"/>
  <c r="B142" i="1"/>
  <c r="T105" i="1"/>
  <c r="X105" i="1" s="1"/>
  <c r="T106" i="2"/>
  <c r="AE144" i="2" l="1"/>
  <c r="H144" i="2"/>
  <c r="D144" i="2"/>
  <c r="AD144" i="2"/>
  <c r="K144" i="2"/>
  <c r="G144" i="2"/>
  <c r="J139" i="2" s="1"/>
  <c r="D139" i="2" s="1"/>
  <c r="J144" i="2"/>
  <c r="F144" i="2"/>
  <c r="B144" i="2"/>
  <c r="N144" i="2"/>
  <c r="E144" i="2"/>
  <c r="A5" i="2"/>
  <c r="AB105" i="2"/>
  <c r="L105" i="1"/>
  <c r="AM105" i="1"/>
  <c r="Z105" i="1"/>
  <c r="N143" i="1"/>
  <c r="E143" i="1"/>
  <c r="C144" i="1"/>
  <c r="AE143" i="1"/>
  <c r="H143" i="1"/>
  <c r="D143" i="1"/>
  <c r="AD143" i="1"/>
  <c r="K143" i="1"/>
  <c r="G143" i="1"/>
  <c r="J143" i="1"/>
  <c r="F143" i="1"/>
  <c r="B143" i="1"/>
  <c r="T106" i="1"/>
  <c r="T107" i="2"/>
  <c r="K142" i="2" l="1"/>
  <c r="K17" i="2"/>
  <c r="J17" i="2"/>
  <c r="J45" i="2"/>
  <c r="K45" i="2"/>
  <c r="K18" i="2"/>
  <c r="J18" i="2"/>
  <c r="J27" i="2"/>
  <c r="D27" i="2" s="1"/>
  <c r="J30" i="2"/>
  <c r="D30" i="2" s="1"/>
  <c r="J32" i="2"/>
  <c r="D32" i="2" s="1"/>
  <c r="K35" i="2"/>
  <c r="J35" i="2"/>
  <c r="J39" i="2"/>
  <c r="D39" i="2" s="1"/>
  <c r="K41" i="2"/>
  <c r="D41" i="2" s="1"/>
  <c r="J46" i="2"/>
  <c r="K46" i="2"/>
  <c r="J55" i="2"/>
  <c r="D55" i="2" s="1"/>
  <c r="J57" i="2"/>
  <c r="D57" i="2" s="1"/>
  <c r="J61" i="2"/>
  <c r="D61" i="2" s="1"/>
  <c r="K66" i="2"/>
  <c r="J66" i="2"/>
  <c r="K85" i="2"/>
  <c r="J85" i="2"/>
  <c r="K100" i="2"/>
  <c r="J100" i="2"/>
  <c r="K114" i="2"/>
  <c r="J114" i="2"/>
  <c r="J131" i="2"/>
  <c r="K131" i="2"/>
  <c r="J135" i="2"/>
  <c r="K135" i="2"/>
  <c r="J142" i="2"/>
  <c r="D142" i="2" s="1"/>
  <c r="O19" i="2"/>
  <c r="O36" i="2"/>
  <c r="O37" i="2"/>
  <c r="O38" i="2"/>
  <c r="O56" i="2"/>
  <c r="K67" i="2"/>
  <c r="J67" i="2"/>
  <c r="J72" i="2"/>
  <c r="D72" i="2" s="1"/>
  <c r="J74" i="2"/>
  <c r="D74" i="2" s="1"/>
  <c r="J77" i="2"/>
  <c r="D77" i="2" s="1"/>
  <c r="J80" i="2"/>
  <c r="D80" i="2" s="1"/>
  <c r="K82" i="2"/>
  <c r="D82" i="2" s="1"/>
  <c r="K16" i="2"/>
  <c r="J16" i="2"/>
  <c r="AE144" i="1"/>
  <c r="H144" i="1"/>
  <c r="D144" i="1"/>
  <c r="AD144" i="1"/>
  <c r="K144" i="1"/>
  <c r="G144" i="1"/>
  <c r="K142" i="1" s="1"/>
  <c r="J144" i="1"/>
  <c r="F144" i="1"/>
  <c r="B144" i="1"/>
  <c r="N144" i="1"/>
  <c r="E144" i="1"/>
  <c r="A5" i="1"/>
  <c r="AB105" i="1"/>
  <c r="T107" i="1"/>
  <c r="T108" i="2"/>
  <c r="D46" i="2" l="1"/>
  <c r="D16" i="2"/>
  <c r="D135" i="2"/>
  <c r="D100" i="2"/>
  <c r="D66" i="2"/>
  <c r="D67" i="2"/>
  <c r="D35" i="2"/>
  <c r="D114" i="2"/>
  <c r="D85" i="2"/>
  <c r="D18" i="2"/>
  <c r="D17" i="2"/>
  <c r="D131" i="2"/>
  <c r="X55" i="2"/>
  <c r="AB55" i="2"/>
  <c r="D45" i="2"/>
  <c r="J16" i="1"/>
  <c r="K16" i="1"/>
  <c r="O19" i="1"/>
  <c r="O36" i="1"/>
  <c r="O37" i="1"/>
  <c r="O38" i="1"/>
  <c r="O56" i="1"/>
  <c r="T108" i="1"/>
  <c r="J17" i="1"/>
  <c r="K17" i="1"/>
  <c r="K45" i="1"/>
  <c r="J45" i="1"/>
  <c r="J18" i="1"/>
  <c r="K18" i="1"/>
  <c r="J27" i="1"/>
  <c r="D27" i="1" s="1"/>
  <c r="J30" i="1"/>
  <c r="D30" i="1" s="1"/>
  <c r="J32" i="1"/>
  <c r="D32" i="1" s="1"/>
  <c r="J35" i="1"/>
  <c r="D35" i="1" s="1"/>
  <c r="J39" i="1"/>
  <c r="D39" i="1" s="1"/>
  <c r="K41" i="1"/>
  <c r="D41" i="1" s="1"/>
  <c r="J46" i="1"/>
  <c r="K46" i="1"/>
  <c r="J55" i="1"/>
  <c r="D55" i="1" s="1"/>
  <c r="K57" i="1"/>
  <c r="J57" i="1"/>
  <c r="J61" i="1"/>
  <c r="K61" i="1"/>
  <c r="K66" i="1"/>
  <c r="J66" i="1"/>
  <c r="K85" i="1"/>
  <c r="J85" i="1"/>
  <c r="J100" i="1"/>
  <c r="K100" i="1"/>
  <c r="J114" i="1"/>
  <c r="K114" i="1"/>
  <c r="K131" i="1"/>
  <c r="J131" i="1"/>
  <c r="J135" i="1"/>
  <c r="K135" i="1"/>
  <c r="J139" i="1"/>
  <c r="D139" i="1" s="1"/>
  <c r="J142" i="1"/>
  <c r="D142" i="1" s="1"/>
  <c r="K67" i="1"/>
  <c r="J67" i="1"/>
  <c r="J74" i="1"/>
  <c r="D74" i="1" s="1"/>
  <c r="J72" i="1"/>
  <c r="D72" i="1" s="1"/>
  <c r="J77" i="1"/>
  <c r="D77" i="1" s="1"/>
  <c r="K82" i="1"/>
  <c r="D82" i="1" s="1"/>
  <c r="T109" i="2"/>
  <c r="D135" i="1" l="1"/>
  <c r="D114" i="1"/>
  <c r="D61" i="1"/>
  <c r="D45" i="1"/>
  <c r="D15" i="2"/>
  <c r="D100" i="1"/>
  <c r="D16" i="1"/>
  <c r="D67" i="1"/>
  <c r="D46" i="1"/>
  <c r="D18" i="1"/>
  <c r="D17" i="1"/>
  <c r="L55" i="2"/>
  <c r="O55" i="2" s="1"/>
  <c r="AM55" i="2"/>
  <c r="Z55" i="2"/>
  <c r="AC55" i="2"/>
  <c r="X35" i="2"/>
  <c r="AB35" i="2"/>
  <c r="AB55" i="1"/>
  <c r="X55" i="1"/>
  <c r="D85" i="1"/>
  <c r="X35" i="1"/>
  <c r="AB35" i="1"/>
  <c r="T109" i="1"/>
  <c r="D131" i="1"/>
  <c r="D66" i="1"/>
  <c r="D57" i="1"/>
  <c r="T110" i="2"/>
  <c r="L35" i="2" l="1"/>
  <c r="O35" i="2" s="1"/>
  <c r="AM35" i="2"/>
  <c r="Z35" i="2"/>
  <c r="AC35" i="2"/>
  <c r="T110" i="1"/>
  <c r="D15" i="1"/>
  <c r="AM55" i="1"/>
  <c r="L55" i="1"/>
  <c r="O55" i="1" s="1"/>
  <c r="Z55" i="1"/>
  <c r="AC55" i="1"/>
  <c r="L35" i="1"/>
  <c r="O35" i="1" s="1"/>
  <c r="AM35" i="1"/>
  <c r="Z35" i="1"/>
  <c r="AC35" i="1"/>
  <c r="T111" i="2"/>
  <c r="T111" i="1" l="1"/>
  <c r="T112" i="2"/>
  <c r="T112" i="1" l="1"/>
  <c r="T113" i="2"/>
  <c r="T113" i="1" l="1"/>
  <c r="T114" i="2"/>
  <c r="T114" i="1" l="1"/>
  <c r="T115" i="2" l="1"/>
  <c r="T115" i="1" l="1"/>
  <c r="T116" i="2"/>
  <c r="T116" i="1" l="1"/>
  <c r="T117" i="2"/>
  <c r="T117" i="1" l="1"/>
  <c r="T118" i="2"/>
  <c r="T118" i="1" l="1"/>
  <c r="T119" i="2"/>
  <c r="T119" i="1" l="1"/>
  <c r="T120" i="2"/>
  <c r="T120" i="1" l="1"/>
  <c r="T121" i="2"/>
  <c r="T121" i="1" l="1"/>
  <c r="T122" i="2"/>
  <c r="T122" i="1" l="1"/>
  <c r="T123" i="2"/>
  <c r="T123" i="1" l="1"/>
  <c r="T124" i="2"/>
  <c r="T124" i="1" l="1"/>
  <c r="T125" i="2"/>
  <c r="T125" i="1" l="1"/>
  <c r="T126" i="2"/>
  <c r="T126" i="1" l="1"/>
  <c r="T127" i="2"/>
  <c r="T127" i="1" l="1"/>
  <c r="T128" i="2" l="1"/>
  <c r="T128" i="1" l="1"/>
  <c r="T129" i="2" l="1"/>
  <c r="T129" i="1" l="1"/>
  <c r="T130" i="2"/>
  <c r="T130" i="1" l="1"/>
  <c r="T131" i="2" l="1"/>
  <c r="T131" i="1" l="1"/>
  <c r="T132" i="2"/>
  <c r="T132" i="1" l="1"/>
  <c r="T133" i="2"/>
  <c r="T133" i="1" l="1"/>
  <c r="T134" i="2" l="1"/>
  <c r="X134" i="2" s="1"/>
  <c r="L134" i="2" l="1"/>
  <c r="AM134" i="2"/>
  <c r="Z134" i="2"/>
  <c r="T134" i="1"/>
  <c r="X134" i="1" s="1"/>
  <c r="AB134" i="2" l="1"/>
  <c r="L134" i="1"/>
  <c r="AM134" i="1"/>
  <c r="Z134" i="1"/>
  <c r="T135" i="2"/>
  <c r="AB134" i="1" l="1"/>
  <c r="T135" i="1"/>
  <c r="T136" i="2"/>
  <c r="X136" i="2" s="1"/>
  <c r="L136" i="2" l="1"/>
  <c r="AM136" i="2"/>
  <c r="I136" i="2"/>
  <c r="Z136" i="2"/>
  <c r="T136" i="1"/>
  <c r="X136" i="1" s="1"/>
  <c r="T137" i="2"/>
  <c r="AB136" i="2" l="1"/>
  <c r="O136" i="2"/>
  <c r="L136" i="1"/>
  <c r="AM136" i="1"/>
  <c r="I136" i="1"/>
  <c r="Z136" i="1"/>
  <c r="T137" i="1"/>
  <c r="T138" i="2"/>
  <c r="O136" i="1" l="1"/>
  <c r="AB136" i="1"/>
  <c r="T138" i="1"/>
  <c r="T139" i="2"/>
  <c r="T139" i="1" l="1"/>
  <c r="T140" i="2"/>
  <c r="T140" i="1" l="1"/>
  <c r="T141" i="2"/>
  <c r="T141" i="1" l="1"/>
  <c r="T142" i="2" l="1"/>
  <c r="T142" i="1" l="1"/>
  <c r="T143" i="2"/>
  <c r="T143" i="1" l="1"/>
  <c r="T144" i="2"/>
  <c r="T144" i="1" l="1"/>
  <c r="AG14" i="2" l="1"/>
  <c r="AG14" i="1"/>
  <c r="AG16" i="2"/>
  <c r="AG17" i="2"/>
  <c r="AG16" i="1"/>
  <c r="AG17" i="1"/>
  <c r="AF14" i="1"/>
  <c r="AF17" i="2"/>
  <c r="AF17" i="1"/>
  <c r="AF14" i="2"/>
  <c r="AF16" i="2"/>
  <c r="AF16" i="1"/>
  <c r="AF32" i="1"/>
  <c r="AF28" i="2"/>
  <c r="AF24" i="2"/>
  <c r="AF33" i="2"/>
  <c r="AF36" i="2"/>
  <c r="AF38" i="2"/>
  <c r="AF42" i="2"/>
  <c r="AF44" i="2"/>
  <c r="AF48" i="2"/>
  <c r="AF50" i="2"/>
  <c r="AF52" i="2"/>
  <c r="AF54" i="2"/>
  <c r="AF58" i="2"/>
  <c r="AF60" i="2"/>
  <c r="AF63" i="2"/>
  <c r="AF65" i="2"/>
  <c r="AF69" i="2"/>
  <c r="AF71" i="2"/>
  <c r="AF75" i="2"/>
  <c r="AF78" i="2"/>
  <c r="AF81" i="2"/>
  <c r="AF84" i="2"/>
  <c r="AF87" i="2"/>
  <c r="AF89" i="2"/>
  <c r="AF91" i="2"/>
  <c r="AF93" i="2"/>
  <c r="AF95" i="2"/>
  <c r="AF97" i="2"/>
  <c r="AF99" i="2"/>
  <c r="AF102" i="2"/>
  <c r="AF104" i="2"/>
  <c r="AF106" i="2"/>
  <c r="AF108" i="2"/>
  <c r="AF110" i="2"/>
  <c r="AF112" i="2"/>
  <c r="AF115" i="2"/>
  <c r="AF117" i="2"/>
  <c r="AF119" i="2"/>
  <c r="AF121" i="2"/>
  <c r="AF123" i="2"/>
  <c r="AF125" i="2"/>
  <c r="AF127" i="2"/>
  <c r="AF129" i="2"/>
  <c r="AF132" i="2"/>
  <c r="AF134" i="2"/>
  <c r="AF137" i="2"/>
  <c r="AF140" i="2"/>
  <c r="AF143" i="2"/>
  <c r="AF18" i="2"/>
  <c r="AF30" i="2"/>
  <c r="AF19" i="2"/>
  <c r="AF27" i="2"/>
  <c r="AF23" i="2"/>
  <c r="AF27" i="1"/>
  <c r="AF23" i="1"/>
  <c r="AF24" i="1"/>
  <c r="AF20" i="1"/>
  <c r="AF34" i="1"/>
  <c r="AF37" i="1"/>
  <c r="AF40" i="1"/>
  <c r="AF43" i="1"/>
  <c r="AF47" i="1"/>
  <c r="AF49" i="1"/>
  <c r="AF51" i="1"/>
  <c r="AF53" i="1"/>
  <c r="AF56" i="1"/>
  <c r="AF59" i="1"/>
  <c r="AF62" i="1"/>
  <c r="AF64" i="1"/>
  <c r="AF68" i="1"/>
  <c r="AF70" i="1"/>
  <c r="AF73" i="1"/>
  <c r="AF76" i="1"/>
  <c r="AF79" i="1"/>
  <c r="AF83" i="1"/>
  <c r="AF86" i="1"/>
  <c r="AF88" i="1"/>
  <c r="AF90" i="1"/>
  <c r="AF92" i="1"/>
  <c r="AF94" i="1"/>
  <c r="AF96" i="1"/>
  <c r="AF98" i="1"/>
  <c r="AF101" i="1"/>
  <c r="AF103" i="1"/>
  <c r="AF105" i="1"/>
  <c r="AF107" i="1"/>
  <c r="AF109" i="1"/>
  <c r="AF111" i="1"/>
  <c r="AF113" i="1"/>
  <c r="AF116" i="1"/>
  <c r="AF118" i="1"/>
  <c r="AF120" i="1"/>
  <c r="AF122" i="1"/>
  <c r="AF124" i="1"/>
  <c r="AF126" i="1"/>
  <c r="AF128" i="1"/>
  <c r="AF130" i="1"/>
  <c r="AF133" i="1"/>
  <c r="AF136" i="1"/>
  <c r="AF138" i="1"/>
  <c r="AF141" i="1"/>
  <c r="AF144" i="1"/>
  <c r="AF18" i="1"/>
  <c r="AF30" i="1"/>
  <c r="AF19" i="1"/>
  <c r="AF32" i="2"/>
  <c r="AF20" i="2"/>
  <c r="AF21" i="2"/>
  <c r="AF34" i="2"/>
  <c r="AF40" i="2"/>
  <c r="AF43" i="2"/>
  <c r="AF49" i="2"/>
  <c r="AF51" i="2"/>
  <c r="AF56" i="2"/>
  <c r="AF62" i="2"/>
  <c r="AF68" i="2"/>
  <c r="AF70" i="2"/>
  <c r="AF76" i="2"/>
  <c r="AF83" i="2"/>
  <c r="AF88" i="2"/>
  <c r="AF92" i="2"/>
  <c r="AF96" i="2"/>
  <c r="AF98" i="2"/>
  <c r="AF37" i="2"/>
  <c r="AF47" i="2"/>
  <c r="AF53" i="2"/>
  <c r="AF59" i="2"/>
  <c r="AF64" i="2"/>
  <c r="AF73" i="2"/>
  <c r="AF79" i="2"/>
  <c r="AF86" i="2"/>
  <c r="AF90" i="2"/>
  <c r="AF94" i="2"/>
  <c r="AF101" i="2"/>
  <c r="AF103" i="2"/>
  <c r="AF107" i="2"/>
  <c r="AF111" i="2"/>
  <c r="AF116" i="2"/>
  <c r="AF120" i="2"/>
  <c r="AF124" i="2"/>
  <c r="AF128" i="2"/>
  <c r="AF133" i="2"/>
  <c r="AF138" i="2"/>
  <c r="AF144" i="2"/>
  <c r="AF31" i="2"/>
  <c r="AF22" i="2"/>
  <c r="AF22" i="1"/>
  <c r="AF21" i="1"/>
  <c r="AF36" i="1"/>
  <c r="AF42" i="1"/>
  <c r="AF48" i="1"/>
  <c r="AF52" i="1"/>
  <c r="AF58" i="1"/>
  <c r="AF63" i="1"/>
  <c r="AF69" i="1"/>
  <c r="AF75" i="1"/>
  <c r="AF81" i="1"/>
  <c r="AF87" i="1"/>
  <c r="AF91" i="1"/>
  <c r="AF95" i="1"/>
  <c r="AF99" i="1"/>
  <c r="AF104" i="1"/>
  <c r="AF108" i="1"/>
  <c r="AF112" i="1"/>
  <c r="AF117" i="1"/>
  <c r="AF121" i="1"/>
  <c r="AF125" i="1"/>
  <c r="AF129" i="1"/>
  <c r="AF140" i="1"/>
  <c r="AF31" i="1"/>
  <c r="AF105" i="2"/>
  <c r="AF109" i="2"/>
  <c r="AF113" i="2"/>
  <c r="AF118" i="2"/>
  <c r="AF122" i="2"/>
  <c r="AF126" i="2"/>
  <c r="AF130" i="2"/>
  <c r="AF136" i="2"/>
  <c r="AF141" i="2"/>
  <c r="AF25" i="2"/>
  <c r="AF29" i="2"/>
  <c r="AF26" i="2"/>
  <c r="AF26" i="1"/>
  <c r="AF33" i="1"/>
  <c r="AF38" i="1"/>
  <c r="AF44" i="1"/>
  <c r="AF50" i="1"/>
  <c r="AF54" i="1"/>
  <c r="AF60" i="1"/>
  <c r="AF65" i="1"/>
  <c r="AF71" i="1"/>
  <c r="AF78" i="1"/>
  <c r="AF84" i="1"/>
  <c r="AF89" i="1"/>
  <c r="AF93" i="1"/>
  <c r="AF97" i="1"/>
  <c r="AF102" i="1"/>
  <c r="AF106" i="1"/>
  <c r="AF110" i="1"/>
  <c r="AF115" i="1"/>
  <c r="AF119" i="1"/>
  <c r="AF123" i="1"/>
  <c r="AF127" i="1"/>
  <c r="AF132" i="1"/>
  <c r="AF137" i="1"/>
  <c r="AF143" i="1"/>
  <c r="AF25" i="1"/>
  <c r="AF29" i="1"/>
  <c r="AF134" i="1"/>
  <c r="AF28" i="1"/>
  <c r="R14" i="2" l="1"/>
  <c r="S14" i="2"/>
  <c r="S14" i="1"/>
  <c r="R14" i="1"/>
  <c r="AC14" i="2"/>
  <c r="AC14" i="1"/>
  <c r="AG32" i="2"/>
  <c r="AG32" i="1"/>
  <c r="AG27" i="2"/>
  <c r="AG29" i="2"/>
  <c r="AC29" i="2" s="1"/>
  <c r="AG30" i="2"/>
  <c r="AG18" i="2"/>
  <c r="AG136" i="2"/>
  <c r="AC136" i="2" s="1"/>
  <c r="AG134" i="2"/>
  <c r="AC134" i="2" s="1"/>
  <c r="AG105" i="2"/>
  <c r="AC105" i="2" s="1"/>
  <c r="AG98" i="2"/>
  <c r="AC98" i="2" s="1"/>
  <c r="AG97" i="2"/>
  <c r="AC97" i="2" s="1"/>
  <c r="AG63" i="2"/>
  <c r="AC63" i="2" s="1"/>
  <c r="AG60" i="2"/>
  <c r="AC60" i="2" s="1"/>
  <c r="AG56" i="2"/>
  <c r="AC56" i="2" s="1"/>
  <c r="AG38" i="2"/>
  <c r="AC38" i="2" s="1"/>
  <c r="AG37" i="2"/>
  <c r="AC37" i="2" s="1"/>
  <c r="AG36" i="2"/>
  <c r="AC36" i="2" s="1"/>
  <c r="AG29" i="1"/>
  <c r="AC29" i="1" s="1"/>
  <c r="AG30" i="1"/>
  <c r="AG18" i="1"/>
  <c r="AG136" i="1"/>
  <c r="AC136" i="1" s="1"/>
  <c r="AG134" i="1"/>
  <c r="AC134" i="1" s="1"/>
  <c r="AG105" i="1"/>
  <c r="AC105" i="1" s="1"/>
  <c r="AG98" i="1"/>
  <c r="AC98" i="1" s="1"/>
  <c r="AG97" i="1"/>
  <c r="AC97" i="1" s="1"/>
  <c r="AG63" i="1"/>
  <c r="AC63" i="1" s="1"/>
  <c r="AG60" i="1"/>
  <c r="AC60" i="1" s="1"/>
  <c r="AG56" i="1"/>
  <c r="AC56" i="1" s="1"/>
  <c r="AG38" i="1"/>
  <c r="AC38" i="1" s="1"/>
  <c r="AG37" i="1"/>
  <c r="AC37" i="1" s="1"/>
  <c r="AG36" i="1"/>
  <c r="AC36" i="1" s="1"/>
  <c r="AG27" i="1"/>
  <c r="AG26" i="2"/>
  <c r="AG25" i="2"/>
  <c r="AG141" i="2"/>
  <c r="AG130" i="2"/>
  <c r="AG126" i="2"/>
  <c r="AG122" i="2"/>
  <c r="AG118" i="2"/>
  <c r="AG113" i="2"/>
  <c r="AG109" i="2"/>
  <c r="AG101" i="2"/>
  <c r="AG96" i="2"/>
  <c r="AG92" i="2"/>
  <c r="AG88" i="2"/>
  <c r="AG83" i="2"/>
  <c r="AG76" i="2"/>
  <c r="AG70" i="2"/>
  <c r="AG64" i="2"/>
  <c r="AG59" i="2"/>
  <c r="AG53" i="2"/>
  <c r="AG49" i="2"/>
  <c r="AG43" i="2"/>
  <c r="AG21" i="2"/>
  <c r="AG23" i="2"/>
  <c r="AG19" i="2"/>
  <c r="AG140" i="2"/>
  <c r="AG129" i="2"/>
  <c r="AG125" i="2"/>
  <c r="AG121" i="2"/>
  <c r="AG117" i="2"/>
  <c r="AG112" i="2"/>
  <c r="AG108" i="2"/>
  <c r="AG104" i="2"/>
  <c r="AG99" i="2"/>
  <c r="AG95" i="2"/>
  <c r="AG91" i="2"/>
  <c r="AG87" i="2"/>
  <c r="AG81" i="2"/>
  <c r="AG75" i="2"/>
  <c r="AG69" i="2"/>
  <c r="AG58" i="2"/>
  <c r="AG52" i="2"/>
  <c r="AG48" i="2"/>
  <c r="AG42" i="2"/>
  <c r="AG24" i="2"/>
  <c r="AG22" i="2"/>
  <c r="AG31" i="2"/>
  <c r="AG144" i="2"/>
  <c r="AG138" i="2"/>
  <c r="AG133" i="2"/>
  <c r="AG128" i="2"/>
  <c r="AG124" i="2"/>
  <c r="AG120" i="2"/>
  <c r="AG116" i="2"/>
  <c r="AG111" i="2"/>
  <c r="AG107" i="2"/>
  <c r="AG103" i="2"/>
  <c r="AG94" i="2"/>
  <c r="AG90" i="2"/>
  <c r="AG86" i="2"/>
  <c r="AG79" i="2"/>
  <c r="AG73" i="2"/>
  <c r="AG68" i="2"/>
  <c r="AG62" i="2"/>
  <c r="AG51" i="2"/>
  <c r="AG47" i="2"/>
  <c r="AG40" i="2"/>
  <c r="AG34" i="2"/>
  <c r="AG20" i="2"/>
  <c r="AG143" i="2"/>
  <c r="AG137" i="2"/>
  <c r="AG132" i="2"/>
  <c r="AG127" i="2"/>
  <c r="AG123" i="2"/>
  <c r="AG119" i="2"/>
  <c r="AG115" i="2"/>
  <c r="AG110" i="2"/>
  <c r="AG106" i="2"/>
  <c r="AG102" i="2"/>
  <c r="AG93" i="2"/>
  <c r="AG89" i="2"/>
  <c r="AG84" i="2"/>
  <c r="AG78" i="2"/>
  <c r="AG71" i="2"/>
  <c r="AG65" i="2"/>
  <c r="AG54" i="2"/>
  <c r="AG50" i="2"/>
  <c r="AG44" i="2"/>
  <c r="AG33" i="2"/>
  <c r="AG28" i="2"/>
  <c r="AG25" i="1"/>
  <c r="AG143" i="1"/>
  <c r="AG137" i="1"/>
  <c r="AG132" i="1"/>
  <c r="AG127" i="1"/>
  <c r="AG123" i="1"/>
  <c r="AG119" i="1"/>
  <c r="AG115" i="1"/>
  <c r="AG110" i="1"/>
  <c r="AG106" i="1"/>
  <c r="AG102" i="1"/>
  <c r="AG93" i="1"/>
  <c r="AG89" i="1"/>
  <c r="AG84" i="1"/>
  <c r="AG78" i="1"/>
  <c r="AG71" i="1"/>
  <c r="AG65" i="1"/>
  <c r="AG54" i="1"/>
  <c r="AG50" i="1"/>
  <c r="AG44" i="1"/>
  <c r="AG33" i="1"/>
  <c r="AG26" i="1"/>
  <c r="AG19" i="1"/>
  <c r="AG141" i="1"/>
  <c r="AG130" i="1"/>
  <c r="AG126" i="1"/>
  <c r="AG122" i="1"/>
  <c r="AG118" i="1"/>
  <c r="AG113" i="1"/>
  <c r="AG109" i="1"/>
  <c r="AG101" i="1"/>
  <c r="AG96" i="1"/>
  <c r="AG92" i="1"/>
  <c r="AG88" i="1"/>
  <c r="AG83" i="1"/>
  <c r="AG76" i="1"/>
  <c r="AG70" i="1"/>
  <c r="AG64" i="1"/>
  <c r="AG59" i="1"/>
  <c r="AG53" i="1"/>
  <c r="AG49" i="1"/>
  <c r="AG43" i="1"/>
  <c r="AG20" i="1"/>
  <c r="AG23" i="1"/>
  <c r="AG31" i="1"/>
  <c r="AG28" i="1"/>
  <c r="AG140" i="1"/>
  <c r="AG129" i="1"/>
  <c r="AG125" i="1"/>
  <c r="AG121" i="1"/>
  <c r="AG117" i="1"/>
  <c r="AG112" i="1"/>
  <c r="AG108" i="1"/>
  <c r="AG104" i="1"/>
  <c r="AG99" i="1"/>
  <c r="AG95" i="1"/>
  <c r="AG91" i="1"/>
  <c r="AG87" i="1"/>
  <c r="AG81" i="1"/>
  <c r="AG75" i="1"/>
  <c r="AG69" i="1"/>
  <c r="AG58" i="1"/>
  <c r="AG52" i="1"/>
  <c r="AG48" i="1"/>
  <c r="AG42" i="1"/>
  <c r="AG21" i="1"/>
  <c r="AG22" i="1"/>
  <c r="AG144" i="1"/>
  <c r="AG138" i="1"/>
  <c r="AG133" i="1"/>
  <c r="AG128" i="1"/>
  <c r="AG124" i="1"/>
  <c r="AG120" i="1"/>
  <c r="AG116" i="1"/>
  <c r="AG111" i="1"/>
  <c r="AG107" i="1"/>
  <c r="AG103" i="1"/>
  <c r="AG94" i="1"/>
  <c r="AG90" i="1"/>
  <c r="AG86" i="1"/>
  <c r="AG79" i="1"/>
  <c r="AG73" i="1"/>
  <c r="AG68" i="1"/>
  <c r="AG62" i="1"/>
  <c r="AG51" i="1"/>
  <c r="AG47" i="1"/>
  <c r="AG40" i="1"/>
  <c r="AG34" i="1"/>
  <c r="AG24" i="1"/>
  <c r="U28" i="2" l="1"/>
  <c r="U33" i="2"/>
  <c r="U44" i="2"/>
  <c r="U50" i="2"/>
  <c r="U54" i="2"/>
  <c r="U65" i="2"/>
  <c r="U71" i="2"/>
  <c r="U78" i="2"/>
  <c r="U84" i="2"/>
  <c r="U89" i="2"/>
  <c r="U93" i="2"/>
  <c r="U102" i="2"/>
  <c r="U106" i="2"/>
  <c r="U110" i="2"/>
  <c r="U115" i="2"/>
  <c r="U119" i="2"/>
  <c r="U123" i="2"/>
  <c r="U127" i="2"/>
  <c r="U132" i="2"/>
  <c r="U137" i="2"/>
  <c r="U143" i="2"/>
  <c r="U20" i="2"/>
  <c r="U34" i="2"/>
  <c r="U40" i="2"/>
  <c r="U47" i="2"/>
  <c r="U51" i="2"/>
  <c r="U62" i="2"/>
  <c r="U68" i="2"/>
  <c r="U73" i="2"/>
  <c r="U79" i="2"/>
  <c r="U86" i="2"/>
  <c r="U90" i="2"/>
  <c r="U94" i="2"/>
  <c r="U103" i="2"/>
  <c r="U107" i="2"/>
  <c r="U111" i="2"/>
  <c r="U116" i="2"/>
  <c r="U120" i="2"/>
  <c r="U124" i="2"/>
  <c r="U128" i="2"/>
  <c r="U133" i="2"/>
  <c r="U138" i="2"/>
  <c r="U144" i="2"/>
  <c r="U31" i="2"/>
  <c r="U22" i="2"/>
  <c r="U24" i="2"/>
  <c r="U42" i="2"/>
  <c r="U48" i="2"/>
  <c r="U52" i="2"/>
  <c r="U58" i="2"/>
  <c r="U69" i="2"/>
  <c r="U75" i="2"/>
  <c r="U81" i="2"/>
  <c r="U87" i="2"/>
  <c r="U91" i="2"/>
  <c r="U95" i="2"/>
  <c r="U99" i="2"/>
  <c r="U104" i="2"/>
  <c r="U108" i="2"/>
  <c r="U112" i="2"/>
  <c r="U117" i="2"/>
  <c r="U121" i="2"/>
  <c r="U125" i="2"/>
  <c r="U129" i="2"/>
  <c r="U140" i="2"/>
  <c r="AC19" i="2"/>
  <c r="U23" i="2"/>
  <c r="U21" i="2"/>
  <c r="U43" i="2"/>
  <c r="U49" i="2"/>
  <c r="U53" i="2"/>
  <c r="U59" i="2"/>
  <c r="U64" i="2"/>
  <c r="U70" i="2"/>
  <c r="U76" i="2"/>
  <c r="U83" i="2"/>
  <c r="U88" i="2"/>
  <c r="U92" i="2"/>
  <c r="U96" i="2"/>
  <c r="U101" i="2"/>
  <c r="U109" i="2"/>
  <c r="U113" i="2"/>
  <c r="U118" i="2"/>
  <c r="U122" i="2"/>
  <c r="U126" i="2"/>
  <c r="U130" i="2"/>
  <c r="U141" i="2"/>
  <c r="U25" i="2"/>
  <c r="U26" i="2"/>
  <c r="U24" i="1"/>
  <c r="U34" i="1"/>
  <c r="U40" i="1"/>
  <c r="U47" i="1"/>
  <c r="U51" i="1"/>
  <c r="U62" i="1"/>
  <c r="U68" i="1"/>
  <c r="U73" i="1"/>
  <c r="U79" i="1"/>
  <c r="U86" i="1"/>
  <c r="U90" i="1"/>
  <c r="U94" i="1"/>
  <c r="U103" i="1"/>
  <c r="U107" i="1"/>
  <c r="U111" i="1"/>
  <c r="U116" i="1"/>
  <c r="U120" i="1"/>
  <c r="U124" i="1"/>
  <c r="U128" i="1"/>
  <c r="U133" i="1"/>
  <c r="U138" i="1"/>
  <c r="U144" i="1"/>
  <c r="U22" i="1"/>
  <c r="U21" i="1"/>
  <c r="U42" i="1"/>
  <c r="U48" i="1"/>
  <c r="U52" i="1"/>
  <c r="U58" i="1"/>
  <c r="U69" i="1"/>
  <c r="U75" i="1"/>
  <c r="U81" i="1"/>
  <c r="U87" i="1"/>
  <c r="U91" i="1"/>
  <c r="U95" i="1"/>
  <c r="U99" i="1"/>
  <c r="U104" i="1"/>
  <c r="U108" i="1"/>
  <c r="U112" i="1"/>
  <c r="U117" i="1"/>
  <c r="U121" i="1"/>
  <c r="U125" i="1"/>
  <c r="U129" i="1"/>
  <c r="U140" i="1"/>
  <c r="U28" i="1"/>
  <c r="U31" i="1"/>
  <c r="U23" i="1"/>
  <c r="U20" i="1"/>
  <c r="U43" i="1"/>
  <c r="U49" i="1"/>
  <c r="U53" i="1"/>
  <c r="U59" i="1"/>
  <c r="U64" i="1"/>
  <c r="U70" i="1"/>
  <c r="U76" i="1"/>
  <c r="U83" i="1"/>
  <c r="U88" i="1"/>
  <c r="U92" i="1"/>
  <c r="U96" i="1"/>
  <c r="U101" i="1"/>
  <c r="U109" i="1"/>
  <c r="U113" i="1"/>
  <c r="U118" i="1"/>
  <c r="U122" i="1"/>
  <c r="U126" i="1"/>
  <c r="U130" i="1"/>
  <c r="U141" i="1"/>
  <c r="AC19" i="1"/>
  <c r="U26" i="1"/>
  <c r="U33" i="1"/>
  <c r="U44" i="1"/>
  <c r="U50" i="1"/>
  <c r="U54" i="1"/>
  <c r="U65" i="1"/>
  <c r="U71" i="1"/>
  <c r="U78" i="1"/>
  <c r="U84" i="1"/>
  <c r="U89" i="1"/>
  <c r="U93" i="1"/>
  <c r="U102" i="1"/>
  <c r="U106" i="1"/>
  <c r="U110" i="1"/>
  <c r="U115" i="1"/>
  <c r="U119" i="1"/>
  <c r="U123" i="1"/>
  <c r="U127" i="1"/>
  <c r="U132" i="1"/>
  <c r="U137" i="1"/>
  <c r="U143" i="1"/>
  <c r="U25" i="1"/>
  <c r="W25" i="2" l="1"/>
  <c r="X25" i="2" s="1"/>
  <c r="AN25" i="2"/>
  <c r="AN122" i="2"/>
  <c r="W122" i="2"/>
  <c r="X122" i="2" s="1"/>
  <c r="AN101" i="2"/>
  <c r="W101" i="2"/>
  <c r="X101" i="2" s="1"/>
  <c r="AN83" i="2"/>
  <c r="W83" i="2"/>
  <c r="X83" i="2" s="1"/>
  <c r="AN59" i="2"/>
  <c r="W59" i="2"/>
  <c r="X59" i="2" s="1"/>
  <c r="W21" i="2"/>
  <c r="X21" i="2" s="1"/>
  <c r="AN21" i="2"/>
  <c r="AN129" i="2"/>
  <c r="W129" i="2"/>
  <c r="X129" i="2" s="1"/>
  <c r="AN112" i="2"/>
  <c r="W112" i="2"/>
  <c r="X112" i="2" s="1"/>
  <c r="AN95" i="2"/>
  <c r="W95" i="2"/>
  <c r="X95" i="2" s="1"/>
  <c r="AN75" i="2"/>
  <c r="W75" i="2"/>
  <c r="X75" i="2" s="1"/>
  <c r="AN48" i="2"/>
  <c r="W48" i="2"/>
  <c r="X48" i="2" s="1"/>
  <c r="AN31" i="2"/>
  <c r="W31" i="2"/>
  <c r="X31" i="2" s="1"/>
  <c r="AN128" i="2"/>
  <c r="W128" i="2"/>
  <c r="X128" i="2" s="1"/>
  <c r="AN111" i="2"/>
  <c r="W111" i="2"/>
  <c r="X111" i="2" s="1"/>
  <c r="AN90" i="2"/>
  <c r="W90" i="2"/>
  <c r="X90" i="2" s="1"/>
  <c r="AN68" i="2"/>
  <c r="W68" i="2"/>
  <c r="X68" i="2" s="1"/>
  <c r="AN40" i="2"/>
  <c r="W40" i="2"/>
  <c r="X40" i="2" s="1"/>
  <c r="AN137" i="2"/>
  <c r="W137" i="2"/>
  <c r="X137" i="2" s="1"/>
  <c r="AN119" i="2"/>
  <c r="W119" i="2"/>
  <c r="X119" i="2" s="1"/>
  <c r="AN102" i="2"/>
  <c r="W102" i="2"/>
  <c r="X102" i="2" s="1"/>
  <c r="AN78" i="2"/>
  <c r="W78" i="2"/>
  <c r="X78" i="2" s="1"/>
  <c r="AN50" i="2"/>
  <c r="W50" i="2"/>
  <c r="X50" i="2" s="1"/>
  <c r="AN141" i="2"/>
  <c r="W141" i="2"/>
  <c r="X141" i="2" s="1"/>
  <c r="AN118" i="2"/>
  <c r="W118" i="2"/>
  <c r="X118" i="2" s="1"/>
  <c r="AN96" i="2"/>
  <c r="W96" i="2"/>
  <c r="X96" i="2" s="1"/>
  <c r="AN76" i="2"/>
  <c r="W76" i="2"/>
  <c r="X76" i="2" s="1"/>
  <c r="AN53" i="2"/>
  <c r="W53" i="2"/>
  <c r="X53" i="2" s="1"/>
  <c r="W23" i="2"/>
  <c r="X23" i="2" s="1"/>
  <c r="AN23" i="2"/>
  <c r="AN125" i="2"/>
  <c r="W125" i="2"/>
  <c r="X125" i="2" s="1"/>
  <c r="AN108" i="2"/>
  <c r="W108" i="2"/>
  <c r="X108" i="2" s="1"/>
  <c r="AN91" i="2"/>
  <c r="W91" i="2"/>
  <c r="X91" i="2" s="1"/>
  <c r="AN69" i="2"/>
  <c r="W69" i="2"/>
  <c r="X69" i="2" s="1"/>
  <c r="AN42" i="2"/>
  <c r="W42" i="2"/>
  <c r="X42" i="2" s="1"/>
  <c r="AN144" i="2"/>
  <c r="W144" i="2"/>
  <c r="X144" i="2" s="1"/>
  <c r="AN124" i="2"/>
  <c r="W124" i="2"/>
  <c r="X124" i="2" s="1"/>
  <c r="AN107" i="2"/>
  <c r="W107" i="2"/>
  <c r="X107" i="2" s="1"/>
  <c r="AN86" i="2"/>
  <c r="W86" i="2"/>
  <c r="X86" i="2" s="1"/>
  <c r="AN62" i="2"/>
  <c r="W62" i="2"/>
  <c r="X62" i="2" s="1"/>
  <c r="AN34" i="2"/>
  <c r="W34" i="2"/>
  <c r="X34" i="2" s="1"/>
  <c r="AN132" i="2"/>
  <c r="W132" i="2"/>
  <c r="X132" i="2" s="1"/>
  <c r="AN115" i="2"/>
  <c r="W115" i="2"/>
  <c r="X115" i="2" s="1"/>
  <c r="AN93" i="2"/>
  <c r="W93" i="2"/>
  <c r="X93" i="2" s="1"/>
  <c r="AN71" i="2"/>
  <c r="W71" i="2"/>
  <c r="X71" i="2" s="1"/>
  <c r="AN44" i="2"/>
  <c r="W44" i="2"/>
  <c r="X44" i="2" s="1"/>
  <c r="AN130" i="2"/>
  <c r="W130" i="2"/>
  <c r="X130" i="2" s="1"/>
  <c r="AN113" i="2"/>
  <c r="W113" i="2"/>
  <c r="X113" i="2" s="1"/>
  <c r="AN92" i="2"/>
  <c r="W92" i="2"/>
  <c r="X92" i="2" s="1"/>
  <c r="AN70" i="2"/>
  <c r="W70" i="2"/>
  <c r="X70" i="2" s="1"/>
  <c r="AN49" i="2"/>
  <c r="W49" i="2"/>
  <c r="X49" i="2" s="1"/>
  <c r="AN121" i="2"/>
  <c r="W121" i="2"/>
  <c r="X121" i="2" s="1"/>
  <c r="AN104" i="2"/>
  <c r="W104" i="2"/>
  <c r="X104" i="2" s="1"/>
  <c r="AN87" i="2"/>
  <c r="W87" i="2"/>
  <c r="X87" i="2" s="1"/>
  <c r="AN58" i="2"/>
  <c r="W58" i="2"/>
  <c r="X58" i="2" s="1"/>
  <c r="W24" i="2"/>
  <c r="X24" i="2" s="1"/>
  <c r="AN24" i="2"/>
  <c r="AN138" i="2"/>
  <c r="W138" i="2"/>
  <c r="X138" i="2" s="1"/>
  <c r="AN120" i="2"/>
  <c r="W120" i="2"/>
  <c r="X120" i="2" s="1"/>
  <c r="AN103" i="2"/>
  <c r="W103" i="2"/>
  <c r="X103" i="2" s="1"/>
  <c r="AN79" i="2"/>
  <c r="W79" i="2"/>
  <c r="X79" i="2" s="1"/>
  <c r="AN51" i="2"/>
  <c r="W51" i="2"/>
  <c r="X51" i="2" s="1"/>
  <c r="W20" i="2"/>
  <c r="X20" i="2" s="1"/>
  <c r="AN20" i="2"/>
  <c r="AN127" i="2"/>
  <c r="W127" i="2"/>
  <c r="X127" i="2" s="1"/>
  <c r="AN110" i="2"/>
  <c r="W110" i="2"/>
  <c r="X110" i="2" s="1"/>
  <c r="AN89" i="2"/>
  <c r="W89" i="2"/>
  <c r="X89" i="2" s="1"/>
  <c r="AN65" i="2"/>
  <c r="W65" i="2"/>
  <c r="X65" i="2" s="1"/>
  <c r="AN33" i="2"/>
  <c r="W33" i="2"/>
  <c r="X33" i="2" s="1"/>
  <c r="W26" i="2"/>
  <c r="X26" i="2" s="1"/>
  <c r="AN26" i="2"/>
  <c r="AN126" i="2"/>
  <c r="W126" i="2"/>
  <c r="X126" i="2" s="1"/>
  <c r="AN109" i="2"/>
  <c r="W109" i="2"/>
  <c r="X109" i="2" s="1"/>
  <c r="AN88" i="2"/>
  <c r="W88" i="2"/>
  <c r="X88" i="2" s="1"/>
  <c r="AN64" i="2"/>
  <c r="W64" i="2"/>
  <c r="X64" i="2" s="1"/>
  <c r="AN43" i="2"/>
  <c r="W43" i="2"/>
  <c r="X43" i="2" s="1"/>
  <c r="AN140" i="2"/>
  <c r="W140" i="2"/>
  <c r="X140" i="2" s="1"/>
  <c r="AN117" i="2"/>
  <c r="W117" i="2"/>
  <c r="X117" i="2" s="1"/>
  <c r="AN99" i="2"/>
  <c r="W99" i="2"/>
  <c r="X99" i="2" s="1"/>
  <c r="AN81" i="2"/>
  <c r="W81" i="2"/>
  <c r="X81" i="2" s="1"/>
  <c r="AN52" i="2"/>
  <c r="W52" i="2"/>
  <c r="X52" i="2" s="1"/>
  <c r="W22" i="2"/>
  <c r="X22" i="2" s="1"/>
  <c r="AN22" i="2"/>
  <c r="AN133" i="2"/>
  <c r="W133" i="2"/>
  <c r="X133" i="2" s="1"/>
  <c r="AN116" i="2"/>
  <c r="W116" i="2"/>
  <c r="X116" i="2" s="1"/>
  <c r="AN94" i="2"/>
  <c r="W94" i="2"/>
  <c r="X94" i="2" s="1"/>
  <c r="AN73" i="2"/>
  <c r="W73" i="2"/>
  <c r="X73" i="2" s="1"/>
  <c r="AN47" i="2"/>
  <c r="W47" i="2"/>
  <c r="X47" i="2" s="1"/>
  <c r="AN143" i="2"/>
  <c r="W143" i="2"/>
  <c r="X143" i="2" s="1"/>
  <c r="AN123" i="2"/>
  <c r="W123" i="2"/>
  <c r="X123" i="2" s="1"/>
  <c r="AN106" i="2"/>
  <c r="W106" i="2"/>
  <c r="X106" i="2" s="1"/>
  <c r="AN84" i="2"/>
  <c r="W84" i="2"/>
  <c r="X84" i="2" s="1"/>
  <c r="AN54" i="2"/>
  <c r="W54" i="2"/>
  <c r="X54" i="2" s="1"/>
  <c r="W28" i="2"/>
  <c r="X28" i="2" s="1"/>
  <c r="AN28" i="2"/>
  <c r="AN143" i="1"/>
  <c r="W143" i="1"/>
  <c r="X143" i="1" s="1"/>
  <c r="AN123" i="1"/>
  <c r="W123" i="1"/>
  <c r="X123" i="1" s="1"/>
  <c r="AN106" i="1"/>
  <c r="W106" i="1"/>
  <c r="X106" i="1" s="1"/>
  <c r="AN84" i="1"/>
  <c r="W84" i="1"/>
  <c r="X84" i="1" s="1"/>
  <c r="AN54" i="1"/>
  <c r="W54" i="1"/>
  <c r="X54" i="1" s="1"/>
  <c r="W26" i="1"/>
  <c r="X26" i="1" s="1"/>
  <c r="AN26" i="1"/>
  <c r="AN126" i="1"/>
  <c r="W126" i="1"/>
  <c r="X126" i="1" s="1"/>
  <c r="AN109" i="1"/>
  <c r="W109" i="1"/>
  <c r="X109" i="1" s="1"/>
  <c r="AN88" i="1"/>
  <c r="W88" i="1"/>
  <c r="X88" i="1" s="1"/>
  <c r="AN64" i="1"/>
  <c r="W64" i="1"/>
  <c r="X64" i="1" s="1"/>
  <c r="AN43" i="1"/>
  <c r="W43" i="1"/>
  <c r="X43" i="1" s="1"/>
  <c r="W28" i="1"/>
  <c r="X28" i="1" s="1"/>
  <c r="AN28" i="1"/>
  <c r="AN121" i="1"/>
  <c r="W121" i="1"/>
  <c r="X121" i="1" s="1"/>
  <c r="AN104" i="1"/>
  <c r="W104" i="1"/>
  <c r="X104" i="1" s="1"/>
  <c r="AN87" i="1"/>
  <c r="W87" i="1"/>
  <c r="X87" i="1" s="1"/>
  <c r="AN58" i="1"/>
  <c r="W58" i="1"/>
  <c r="X58" i="1" s="1"/>
  <c r="W21" i="1"/>
  <c r="X21" i="1" s="1"/>
  <c r="AN21" i="1"/>
  <c r="AN133" i="1"/>
  <c r="W133" i="1"/>
  <c r="X133" i="1" s="1"/>
  <c r="AN116" i="1"/>
  <c r="W116" i="1"/>
  <c r="X116" i="1" s="1"/>
  <c r="AN94" i="1"/>
  <c r="W94" i="1"/>
  <c r="X94" i="1" s="1"/>
  <c r="AN73" i="1"/>
  <c r="W73" i="1"/>
  <c r="X73" i="1" s="1"/>
  <c r="AN47" i="1"/>
  <c r="W47" i="1"/>
  <c r="X47" i="1" s="1"/>
  <c r="AN137" i="1"/>
  <c r="W137" i="1"/>
  <c r="X137" i="1" s="1"/>
  <c r="AN119" i="1"/>
  <c r="W119" i="1"/>
  <c r="X119" i="1" s="1"/>
  <c r="AN102" i="1"/>
  <c r="W102" i="1"/>
  <c r="X102" i="1" s="1"/>
  <c r="AN78" i="1"/>
  <c r="W78" i="1"/>
  <c r="X78" i="1" s="1"/>
  <c r="AN50" i="1"/>
  <c r="W50" i="1"/>
  <c r="X50" i="1" s="1"/>
  <c r="AN122" i="1"/>
  <c r="W122" i="1"/>
  <c r="X122" i="1" s="1"/>
  <c r="AN101" i="1"/>
  <c r="W101" i="1"/>
  <c r="X101" i="1" s="1"/>
  <c r="AN83" i="1"/>
  <c r="W83" i="1"/>
  <c r="X83" i="1" s="1"/>
  <c r="AN59" i="1"/>
  <c r="W59" i="1"/>
  <c r="X59" i="1" s="1"/>
  <c r="W20" i="1"/>
  <c r="X20" i="1" s="1"/>
  <c r="AN20" i="1"/>
  <c r="AN140" i="1"/>
  <c r="W140" i="1"/>
  <c r="X140" i="1" s="1"/>
  <c r="AN117" i="1"/>
  <c r="W117" i="1"/>
  <c r="X117" i="1" s="1"/>
  <c r="AN99" i="1"/>
  <c r="W99" i="1"/>
  <c r="X99" i="1" s="1"/>
  <c r="AN81" i="1"/>
  <c r="W81" i="1"/>
  <c r="X81" i="1" s="1"/>
  <c r="AN52" i="1"/>
  <c r="W52" i="1"/>
  <c r="X52" i="1" s="1"/>
  <c r="W22" i="1"/>
  <c r="X22" i="1" s="1"/>
  <c r="AN22" i="1"/>
  <c r="AN128" i="1"/>
  <c r="W128" i="1"/>
  <c r="X128" i="1" s="1"/>
  <c r="AN111" i="1"/>
  <c r="W111" i="1"/>
  <c r="X111" i="1" s="1"/>
  <c r="AN90" i="1"/>
  <c r="W90" i="1"/>
  <c r="X90" i="1" s="1"/>
  <c r="AN68" i="1"/>
  <c r="W68" i="1"/>
  <c r="X68" i="1" s="1"/>
  <c r="AN40" i="1"/>
  <c r="W40" i="1"/>
  <c r="X40" i="1" s="1"/>
  <c r="AN132" i="1"/>
  <c r="W132" i="1"/>
  <c r="X132" i="1" s="1"/>
  <c r="AN115" i="1"/>
  <c r="W115" i="1"/>
  <c r="X115" i="1" s="1"/>
  <c r="AN93" i="1"/>
  <c r="W93" i="1"/>
  <c r="X93" i="1" s="1"/>
  <c r="AN71" i="1"/>
  <c r="W71" i="1"/>
  <c r="X71" i="1" s="1"/>
  <c r="AN44" i="1"/>
  <c r="W44" i="1"/>
  <c r="X44" i="1" s="1"/>
  <c r="AN141" i="1"/>
  <c r="W141" i="1"/>
  <c r="X141" i="1" s="1"/>
  <c r="AN118" i="1"/>
  <c r="W118" i="1"/>
  <c r="X118" i="1" s="1"/>
  <c r="AN96" i="1"/>
  <c r="W96" i="1"/>
  <c r="X96" i="1" s="1"/>
  <c r="AN76" i="1"/>
  <c r="W76" i="1"/>
  <c r="X76" i="1" s="1"/>
  <c r="AN53" i="1"/>
  <c r="W53" i="1"/>
  <c r="X53" i="1" s="1"/>
  <c r="W23" i="1"/>
  <c r="X23" i="1" s="1"/>
  <c r="AN23" i="1"/>
  <c r="AN129" i="1"/>
  <c r="W129" i="1"/>
  <c r="X129" i="1" s="1"/>
  <c r="AN112" i="1"/>
  <c r="W112" i="1"/>
  <c r="X112" i="1" s="1"/>
  <c r="AN95" i="1"/>
  <c r="W95" i="1"/>
  <c r="X95" i="1" s="1"/>
  <c r="AN75" i="1"/>
  <c r="W75" i="1"/>
  <c r="X75" i="1" s="1"/>
  <c r="AN48" i="1"/>
  <c r="W48" i="1"/>
  <c r="X48" i="1" s="1"/>
  <c r="AN144" i="1"/>
  <c r="W144" i="1"/>
  <c r="X144" i="1" s="1"/>
  <c r="AN124" i="1"/>
  <c r="W124" i="1"/>
  <c r="X124" i="1" s="1"/>
  <c r="AN107" i="1"/>
  <c r="W107" i="1"/>
  <c r="X107" i="1" s="1"/>
  <c r="AN86" i="1"/>
  <c r="W86" i="1"/>
  <c r="X86" i="1" s="1"/>
  <c r="AN62" i="1"/>
  <c r="W62" i="1"/>
  <c r="X62" i="1" s="1"/>
  <c r="AN34" i="1"/>
  <c r="W34" i="1"/>
  <c r="X34" i="1" s="1"/>
  <c r="W25" i="1"/>
  <c r="X25" i="1" s="1"/>
  <c r="AN25" i="1"/>
  <c r="AN127" i="1"/>
  <c r="W127" i="1"/>
  <c r="X127" i="1" s="1"/>
  <c r="AN110" i="1"/>
  <c r="W110" i="1"/>
  <c r="X110" i="1" s="1"/>
  <c r="AN89" i="1"/>
  <c r="W89" i="1"/>
  <c r="X89" i="1" s="1"/>
  <c r="AN65" i="1"/>
  <c r="W65" i="1"/>
  <c r="X65" i="1" s="1"/>
  <c r="AN33" i="1"/>
  <c r="W33" i="1"/>
  <c r="X33" i="1" s="1"/>
  <c r="AN130" i="1"/>
  <c r="W130" i="1"/>
  <c r="X130" i="1" s="1"/>
  <c r="AN113" i="1"/>
  <c r="W113" i="1"/>
  <c r="X113" i="1" s="1"/>
  <c r="AN92" i="1"/>
  <c r="W92" i="1"/>
  <c r="X92" i="1" s="1"/>
  <c r="AN70" i="1"/>
  <c r="W70" i="1"/>
  <c r="X70" i="1" s="1"/>
  <c r="AN49" i="1"/>
  <c r="W49" i="1"/>
  <c r="X49" i="1" s="1"/>
  <c r="AN31" i="1"/>
  <c r="W31" i="1"/>
  <c r="X31" i="1" s="1"/>
  <c r="AN125" i="1"/>
  <c r="W125" i="1"/>
  <c r="X125" i="1" s="1"/>
  <c r="AN108" i="1"/>
  <c r="W108" i="1"/>
  <c r="X108" i="1" s="1"/>
  <c r="AN91" i="1"/>
  <c r="W91" i="1"/>
  <c r="X91" i="1" s="1"/>
  <c r="AN69" i="1"/>
  <c r="W69" i="1"/>
  <c r="X69" i="1" s="1"/>
  <c r="AN42" i="1"/>
  <c r="W42" i="1"/>
  <c r="X42" i="1" s="1"/>
  <c r="AN138" i="1"/>
  <c r="W138" i="1"/>
  <c r="X138" i="1" s="1"/>
  <c r="AN120" i="1"/>
  <c r="W120" i="1"/>
  <c r="X120" i="1" s="1"/>
  <c r="AN103" i="1"/>
  <c r="W103" i="1"/>
  <c r="X103" i="1" s="1"/>
  <c r="AN79" i="1"/>
  <c r="W79" i="1"/>
  <c r="X79" i="1" s="1"/>
  <c r="AN51" i="1"/>
  <c r="W51" i="1"/>
  <c r="X51" i="1" s="1"/>
  <c r="W24" i="1"/>
  <c r="X24" i="1" s="1"/>
  <c r="AN24" i="1"/>
  <c r="AM84" i="2" l="1"/>
  <c r="L84" i="2"/>
  <c r="Z84" i="2"/>
  <c r="AC84" i="2"/>
  <c r="AM123" i="2"/>
  <c r="L123" i="2"/>
  <c r="Z123" i="2"/>
  <c r="AC123" i="2"/>
  <c r="AM47" i="2"/>
  <c r="L47" i="2"/>
  <c r="I47" i="2"/>
  <c r="Z47" i="2"/>
  <c r="AC47" i="2"/>
  <c r="X46" i="2"/>
  <c r="X45" i="2"/>
  <c r="AM94" i="2"/>
  <c r="L94" i="2"/>
  <c r="Z94" i="2"/>
  <c r="AC94" i="2"/>
  <c r="L133" i="2"/>
  <c r="AM133" i="2"/>
  <c r="Z133" i="2"/>
  <c r="AC133" i="2"/>
  <c r="AM52" i="2"/>
  <c r="L52" i="2"/>
  <c r="Z52" i="2"/>
  <c r="AC52" i="2"/>
  <c r="AM99" i="2"/>
  <c r="L99" i="2"/>
  <c r="Z99" i="2"/>
  <c r="AC99" i="2"/>
  <c r="AM140" i="2"/>
  <c r="L140" i="2"/>
  <c r="I140" i="2"/>
  <c r="I141" i="2" s="1"/>
  <c r="Z140" i="2"/>
  <c r="AC140" i="2"/>
  <c r="X139" i="2"/>
  <c r="AM64" i="2"/>
  <c r="L64" i="2"/>
  <c r="Z64" i="2"/>
  <c r="AC64" i="2"/>
  <c r="AM109" i="2"/>
  <c r="L109" i="2"/>
  <c r="Z109" i="2"/>
  <c r="AC109" i="2"/>
  <c r="AM65" i="2"/>
  <c r="L65" i="2"/>
  <c r="Z65" i="2"/>
  <c r="AC65" i="2"/>
  <c r="AM110" i="2"/>
  <c r="L110" i="2"/>
  <c r="Z110" i="2"/>
  <c r="AC110" i="2"/>
  <c r="AM79" i="2"/>
  <c r="L79" i="2"/>
  <c r="Z79" i="2"/>
  <c r="AC79" i="2"/>
  <c r="AM120" i="2"/>
  <c r="L120" i="2"/>
  <c r="Z120" i="2"/>
  <c r="AC120" i="2"/>
  <c r="AM87" i="2"/>
  <c r="L87" i="2"/>
  <c r="Z87" i="2"/>
  <c r="AC87" i="2"/>
  <c r="AM121" i="2"/>
  <c r="L121" i="2"/>
  <c r="Z121" i="2"/>
  <c r="AC121" i="2"/>
  <c r="AM70" i="2"/>
  <c r="L70" i="2"/>
  <c r="Z70" i="2"/>
  <c r="AC70" i="2"/>
  <c r="AM113" i="2"/>
  <c r="L113" i="2"/>
  <c r="Z113" i="2"/>
  <c r="AC113" i="2"/>
  <c r="AM44" i="2"/>
  <c r="L44" i="2"/>
  <c r="Z44" i="2"/>
  <c r="AC44" i="2"/>
  <c r="AM93" i="2"/>
  <c r="L93" i="2"/>
  <c r="Z93" i="2"/>
  <c r="AC93" i="2"/>
  <c r="AM132" i="2"/>
  <c r="L132" i="2"/>
  <c r="Z132" i="2"/>
  <c r="I132" i="2"/>
  <c r="I133" i="2" s="1"/>
  <c r="I134" i="2" s="1"/>
  <c r="O134" i="2" s="1"/>
  <c r="AC132" i="2"/>
  <c r="X131" i="2"/>
  <c r="AM62" i="2"/>
  <c r="L62" i="2"/>
  <c r="Z62" i="2"/>
  <c r="I62" i="2"/>
  <c r="I63" i="2" s="1"/>
  <c r="O63" i="2" s="1"/>
  <c r="AC62" i="2"/>
  <c r="X61" i="2"/>
  <c r="AM107" i="2"/>
  <c r="L107" i="2"/>
  <c r="Z107" i="2"/>
  <c r="AC107" i="2"/>
  <c r="AM144" i="2"/>
  <c r="L144" i="2"/>
  <c r="Z144" i="2"/>
  <c r="AC144" i="2"/>
  <c r="AM69" i="2"/>
  <c r="L69" i="2"/>
  <c r="Z69" i="2"/>
  <c r="AC69" i="2"/>
  <c r="AM108" i="2"/>
  <c r="L108" i="2"/>
  <c r="Z108" i="2"/>
  <c r="AC108" i="2"/>
  <c r="AM76" i="2"/>
  <c r="L76" i="2"/>
  <c r="Z76" i="2"/>
  <c r="AC76" i="2"/>
  <c r="L118" i="2"/>
  <c r="AM118" i="2"/>
  <c r="Z118" i="2"/>
  <c r="AC118" i="2"/>
  <c r="AM50" i="2"/>
  <c r="L50" i="2"/>
  <c r="Z50" i="2"/>
  <c r="AC50" i="2"/>
  <c r="AM102" i="2"/>
  <c r="L102" i="2"/>
  <c r="Z102" i="2"/>
  <c r="AC102" i="2"/>
  <c r="AM137" i="2"/>
  <c r="L137" i="2"/>
  <c r="I137" i="2"/>
  <c r="Z137" i="2"/>
  <c r="AC137" i="2"/>
  <c r="X135" i="2"/>
  <c r="AM68" i="2"/>
  <c r="L68" i="2"/>
  <c r="I68" i="2"/>
  <c r="I69" i="2" s="1"/>
  <c r="I70" i="2" s="1"/>
  <c r="I71" i="2" s="1"/>
  <c r="Z68" i="2"/>
  <c r="AC68" i="2"/>
  <c r="X66" i="2"/>
  <c r="X67" i="2"/>
  <c r="AM111" i="2"/>
  <c r="L111" i="2"/>
  <c r="Z111" i="2"/>
  <c r="AC111" i="2"/>
  <c r="AM31" i="2"/>
  <c r="L31" i="2"/>
  <c r="I31" i="2"/>
  <c r="Z31" i="2"/>
  <c r="AC31" i="2"/>
  <c r="X30" i="2"/>
  <c r="AM75" i="2"/>
  <c r="L75" i="2"/>
  <c r="I75" i="2"/>
  <c r="I76" i="2" s="1"/>
  <c r="Z75" i="2"/>
  <c r="AC75" i="2"/>
  <c r="X74" i="2"/>
  <c r="AM112" i="2"/>
  <c r="L112" i="2"/>
  <c r="Z112" i="2"/>
  <c r="AC112" i="2"/>
  <c r="AM83" i="2"/>
  <c r="L83" i="2"/>
  <c r="Z83" i="2"/>
  <c r="I83" i="2"/>
  <c r="I84" i="2" s="1"/>
  <c r="AC83" i="2"/>
  <c r="X82" i="2"/>
  <c r="AM122" i="2"/>
  <c r="L122" i="2"/>
  <c r="Z122" i="2"/>
  <c r="AC122" i="2"/>
  <c r="AM28" i="2"/>
  <c r="L28" i="2"/>
  <c r="I28" i="2"/>
  <c r="I29" i="2" s="1"/>
  <c r="O29" i="2" s="1"/>
  <c r="Z28" i="2"/>
  <c r="AC28" i="2"/>
  <c r="X27" i="2"/>
  <c r="AM26" i="2"/>
  <c r="L26" i="2"/>
  <c r="Z26" i="2"/>
  <c r="AC26" i="2"/>
  <c r="L20" i="2"/>
  <c r="AM20" i="2"/>
  <c r="Z20" i="2"/>
  <c r="I20" i="2"/>
  <c r="AC20" i="2"/>
  <c r="X15" i="2"/>
  <c r="X16" i="2"/>
  <c r="X17" i="2"/>
  <c r="X18" i="2"/>
  <c r="AM24" i="2"/>
  <c r="L24" i="2"/>
  <c r="Z24" i="2"/>
  <c r="AC24" i="2"/>
  <c r="AM23" i="2"/>
  <c r="L23" i="2"/>
  <c r="Z23" i="2"/>
  <c r="AC23" i="2"/>
  <c r="AM21" i="2"/>
  <c r="L21" i="2"/>
  <c r="I21" i="2"/>
  <c r="I22" i="2" s="1"/>
  <c r="I23" i="2" s="1"/>
  <c r="I24" i="2" s="1"/>
  <c r="I25" i="2" s="1"/>
  <c r="I26" i="2" s="1"/>
  <c r="Z21" i="2"/>
  <c r="AC21" i="2"/>
  <c r="AM54" i="2"/>
  <c r="L54" i="2"/>
  <c r="Z54" i="2"/>
  <c r="AC54" i="2"/>
  <c r="AM106" i="2"/>
  <c r="L106" i="2"/>
  <c r="Z106" i="2"/>
  <c r="AC106" i="2"/>
  <c r="AM143" i="2"/>
  <c r="L143" i="2"/>
  <c r="I143" i="2"/>
  <c r="I144" i="2" s="1"/>
  <c r="Z143" i="2"/>
  <c r="AC143" i="2"/>
  <c r="X142" i="2"/>
  <c r="AM73" i="2"/>
  <c r="L73" i="2"/>
  <c r="I73" i="2"/>
  <c r="Z73" i="2"/>
  <c r="AC73" i="2"/>
  <c r="X72" i="2"/>
  <c r="AM116" i="2"/>
  <c r="L116" i="2"/>
  <c r="Z116" i="2"/>
  <c r="AC116" i="2"/>
  <c r="L81" i="2"/>
  <c r="AM81" i="2"/>
  <c r="I81" i="2"/>
  <c r="Z81" i="2"/>
  <c r="AC81" i="2"/>
  <c r="X80" i="2"/>
  <c r="AM117" i="2"/>
  <c r="L117" i="2"/>
  <c r="Z117" i="2"/>
  <c r="AC117" i="2"/>
  <c r="AM43" i="2"/>
  <c r="L43" i="2"/>
  <c r="Z43" i="2"/>
  <c r="AC43" i="2"/>
  <c r="L88" i="2"/>
  <c r="AM88" i="2"/>
  <c r="Z88" i="2"/>
  <c r="AC88" i="2"/>
  <c r="AM126" i="2"/>
  <c r="L126" i="2"/>
  <c r="Z126" i="2"/>
  <c r="AC126" i="2"/>
  <c r="L33" i="2"/>
  <c r="AM33" i="2"/>
  <c r="I33" i="2"/>
  <c r="Z33" i="2"/>
  <c r="AC33" i="2"/>
  <c r="X32" i="2"/>
  <c r="AM89" i="2"/>
  <c r="L89" i="2"/>
  <c r="Z89" i="2"/>
  <c r="AC89" i="2"/>
  <c r="L127" i="2"/>
  <c r="AM127" i="2"/>
  <c r="Z127" i="2"/>
  <c r="AC127" i="2"/>
  <c r="AM51" i="2"/>
  <c r="L51" i="2"/>
  <c r="Z51" i="2"/>
  <c r="AC51" i="2"/>
  <c r="AM103" i="2"/>
  <c r="L103" i="2"/>
  <c r="Z103" i="2"/>
  <c r="AC103" i="2"/>
  <c r="AM138" i="2"/>
  <c r="L138" i="2"/>
  <c r="Z138" i="2"/>
  <c r="I138" i="2"/>
  <c r="AC138" i="2"/>
  <c r="AM58" i="2"/>
  <c r="L58" i="2"/>
  <c r="Z58" i="2"/>
  <c r="I58" i="2"/>
  <c r="I59" i="2" s="1"/>
  <c r="I60" i="2" s="1"/>
  <c r="O60" i="2" s="1"/>
  <c r="AC58" i="2"/>
  <c r="X57" i="2"/>
  <c r="AM104" i="2"/>
  <c r="L104" i="2"/>
  <c r="Z104" i="2"/>
  <c r="AC104" i="2"/>
  <c r="AM49" i="2"/>
  <c r="L49" i="2"/>
  <c r="Z49" i="2"/>
  <c r="AC49" i="2"/>
  <c r="AM92" i="2"/>
  <c r="L92" i="2"/>
  <c r="Z92" i="2"/>
  <c r="AC92" i="2"/>
  <c r="AM130" i="2"/>
  <c r="L130" i="2"/>
  <c r="Z130" i="2"/>
  <c r="AC130" i="2"/>
  <c r="AM71" i="2"/>
  <c r="L71" i="2"/>
  <c r="Z71" i="2"/>
  <c r="AC71" i="2"/>
  <c r="AM115" i="2"/>
  <c r="L115" i="2"/>
  <c r="I115" i="2"/>
  <c r="I116" i="2" s="1"/>
  <c r="I117" i="2" s="1"/>
  <c r="I118" i="2" s="1"/>
  <c r="I119" i="2" s="1"/>
  <c r="I120" i="2" s="1"/>
  <c r="I121" i="2" s="1"/>
  <c r="I122" i="2" s="1"/>
  <c r="I123" i="2" s="1"/>
  <c r="I124" i="2" s="1"/>
  <c r="I125" i="2" s="1"/>
  <c r="I126" i="2" s="1"/>
  <c r="I127" i="2" s="1"/>
  <c r="I128" i="2" s="1"/>
  <c r="I129" i="2" s="1"/>
  <c r="I130" i="2" s="1"/>
  <c r="Z115" i="2"/>
  <c r="AC115" i="2"/>
  <c r="X114" i="2"/>
  <c r="AM34" i="2"/>
  <c r="L34" i="2"/>
  <c r="Z34" i="2"/>
  <c r="I34" i="2"/>
  <c r="AC34" i="2"/>
  <c r="AM86" i="2"/>
  <c r="L86" i="2"/>
  <c r="Z86" i="2"/>
  <c r="I86" i="2"/>
  <c r="I87" i="2" s="1"/>
  <c r="I88" i="2" s="1"/>
  <c r="I89" i="2" s="1"/>
  <c r="I90" i="2" s="1"/>
  <c r="I91" i="2" s="1"/>
  <c r="I92" i="2" s="1"/>
  <c r="I93" i="2" s="1"/>
  <c r="I94" i="2" s="1"/>
  <c r="I95" i="2" s="1"/>
  <c r="I96" i="2" s="1"/>
  <c r="I97" i="2" s="1"/>
  <c r="AC86" i="2"/>
  <c r="X85" i="2"/>
  <c r="AM124" i="2"/>
  <c r="L124" i="2"/>
  <c r="Z124" i="2"/>
  <c r="AC124" i="2"/>
  <c r="AM42" i="2"/>
  <c r="L42" i="2"/>
  <c r="I42" i="2"/>
  <c r="I43" i="2" s="1"/>
  <c r="I44" i="2" s="1"/>
  <c r="Z42" i="2"/>
  <c r="AC42" i="2"/>
  <c r="X41" i="2"/>
  <c r="AM91" i="2"/>
  <c r="L91" i="2"/>
  <c r="Z91" i="2"/>
  <c r="AC91" i="2"/>
  <c r="L125" i="2"/>
  <c r="AM125" i="2"/>
  <c r="Z125" i="2"/>
  <c r="AC125" i="2"/>
  <c r="AM53" i="2"/>
  <c r="L53" i="2"/>
  <c r="Z53" i="2"/>
  <c r="AC53" i="2"/>
  <c r="AM96" i="2"/>
  <c r="L96" i="2"/>
  <c r="Z96" i="2"/>
  <c r="AC96" i="2"/>
  <c r="AM141" i="2"/>
  <c r="L141" i="2"/>
  <c r="Z141" i="2"/>
  <c r="AC141" i="2"/>
  <c r="AM78" i="2"/>
  <c r="L78" i="2"/>
  <c r="Z78" i="2"/>
  <c r="I78" i="2"/>
  <c r="I79" i="2" s="1"/>
  <c r="AC78" i="2"/>
  <c r="X77" i="2"/>
  <c r="AM119" i="2"/>
  <c r="L119" i="2"/>
  <c r="Z119" i="2"/>
  <c r="AC119" i="2"/>
  <c r="AM40" i="2"/>
  <c r="L40" i="2"/>
  <c r="I40" i="2"/>
  <c r="Z40" i="2"/>
  <c r="AC40" i="2"/>
  <c r="X39" i="2"/>
  <c r="AM90" i="2"/>
  <c r="L90" i="2"/>
  <c r="Z90" i="2"/>
  <c r="AC90" i="2"/>
  <c r="AM128" i="2"/>
  <c r="L128" i="2"/>
  <c r="Z128" i="2"/>
  <c r="AC128" i="2"/>
  <c r="AM48" i="2"/>
  <c r="L48" i="2"/>
  <c r="Z48" i="2"/>
  <c r="I48" i="2"/>
  <c r="I49" i="2" s="1"/>
  <c r="I50" i="2" s="1"/>
  <c r="I51" i="2" s="1"/>
  <c r="I52" i="2" s="1"/>
  <c r="I53" i="2" s="1"/>
  <c r="I54" i="2" s="1"/>
  <c r="AC48" i="2"/>
  <c r="AM95" i="2"/>
  <c r="L95" i="2"/>
  <c r="Z95" i="2"/>
  <c r="AC95" i="2"/>
  <c r="AM129" i="2"/>
  <c r="L129" i="2"/>
  <c r="Z129" i="2"/>
  <c r="AC129" i="2"/>
  <c r="AM59" i="2"/>
  <c r="L59" i="2"/>
  <c r="Z59" i="2"/>
  <c r="AC59" i="2"/>
  <c r="AM101" i="2"/>
  <c r="L101" i="2"/>
  <c r="Z101" i="2"/>
  <c r="I101" i="2"/>
  <c r="I102" i="2" s="1"/>
  <c r="I103" i="2" s="1"/>
  <c r="I104" i="2" s="1"/>
  <c r="I105" i="2" s="1"/>
  <c r="AC101" i="2"/>
  <c r="X100" i="2"/>
  <c r="AM22" i="2"/>
  <c r="L22" i="2"/>
  <c r="Z22" i="2"/>
  <c r="AC22" i="2"/>
  <c r="AM25" i="2"/>
  <c r="L25" i="2"/>
  <c r="Z25" i="2"/>
  <c r="AC25" i="2"/>
  <c r="AM79" i="1"/>
  <c r="L79" i="1"/>
  <c r="Z79" i="1"/>
  <c r="AC79" i="1"/>
  <c r="AM120" i="1"/>
  <c r="L120" i="1"/>
  <c r="Z120" i="1"/>
  <c r="AC120" i="1"/>
  <c r="AM42" i="1"/>
  <c r="L42" i="1"/>
  <c r="I42" i="1"/>
  <c r="I43" i="1" s="1"/>
  <c r="I44" i="1" s="1"/>
  <c r="Z42" i="1"/>
  <c r="AC42" i="1"/>
  <c r="X41" i="1"/>
  <c r="AM91" i="1"/>
  <c r="L91" i="1"/>
  <c r="Z91" i="1"/>
  <c r="AC91" i="1"/>
  <c r="L125" i="1"/>
  <c r="AM125" i="1"/>
  <c r="Z125" i="1"/>
  <c r="AC125" i="1"/>
  <c r="AM49" i="1"/>
  <c r="L49" i="1"/>
  <c r="Z49" i="1"/>
  <c r="AC49" i="1"/>
  <c r="AM92" i="1"/>
  <c r="L92" i="1"/>
  <c r="Z92" i="1"/>
  <c r="AC92" i="1"/>
  <c r="AM130" i="1"/>
  <c r="L130" i="1"/>
  <c r="Z130" i="1"/>
  <c r="AC130" i="1"/>
  <c r="AM65" i="1"/>
  <c r="L65" i="1"/>
  <c r="Z65" i="1"/>
  <c r="AC65" i="1"/>
  <c r="AM110" i="1"/>
  <c r="L110" i="1"/>
  <c r="Z110" i="1"/>
  <c r="AC110" i="1"/>
  <c r="AM62" i="1"/>
  <c r="L62" i="1"/>
  <c r="I62" i="1"/>
  <c r="I63" i="1" s="1"/>
  <c r="O63" i="1" s="1"/>
  <c r="Z62" i="1"/>
  <c r="AC62" i="1"/>
  <c r="X61" i="1"/>
  <c r="AM107" i="1"/>
  <c r="L107" i="1"/>
  <c r="Z107" i="1"/>
  <c r="AC107" i="1"/>
  <c r="AM144" i="1"/>
  <c r="L144" i="1"/>
  <c r="Z144" i="1"/>
  <c r="AC144" i="1"/>
  <c r="AM75" i="1"/>
  <c r="L75" i="1"/>
  <c r="I75" i="1"/>
  <c r="I76" i="1" s="1"/>
  <c r="Z75" i="1"/>
  <c r="AC75" i="1"/>
  <c r="X74" i="1"/>
  <c r="AM112" i="1"/>
  <c r="L112" i="1"/>
  <c r="Z112" i="1"/>
  <c r="AC112" i="1"/>
  <c r="AM76" i="1"/>
  <c r="L76" i="1"/>
  <c r="Z76" i="1"/>
  <c r="AC76" i="1"/>
  <c r="AM118" i="1"/>
  <c r="L118" i="1"/>
  <c r="Z118" i="1"/>
  <c r="AC118" i="1"/>
  <c r="AM44" i="1"/>
  <c r="L44" i="1"/>
  <c r="Z44" i="1"/>
  <c r="AC44" i="1"/>
  <c r="AM93" i="1"/>
  <c r="L93" i="1"/>
  <c r="Z93" i="1"/>
  <c r="AC93" i="1"/>
  <c r="AM132" i="1"/>
  <c r="L132" i="1"/>
  <c r="I132" i="1"/>
  <c r="I133" i="1" s="1"/>
  <c r="I134" i="1" s="1"/>
  <c r="O134" i="1" s="1"/>
  <c r="Z132" i="1"/>
  <c r="AC132" i="1"/>
  <c r="X131" i="1"/>
  <c r="AM68" i="1"/>
  <c r="L68" i="1"/>
  <c r="Z68" i="1"/>
  <c r="I68" i="1"/>
  <c r="I69" i="1" s="1"/>
  <c r="I70" i="1" s="1"/>
  <c r="I71" i="1" s="1"/>
  <c r="AC68" i="1"/>
  <c r="X67" i="1"/>
  <c r="X66" i="1"/>
  <c r="AM111" i="1"/>
  <c r="L111" i="1"/>
  <c r="Z111" i="1"/>
  <c r="AC111" i="1"/>
  <c r="AM81" i="1"/>
  <c r="L81" i="1"/>
  <c r="Z81" i="1"/>
  <c r="I81" i="1"/>
  <c r="AC81" i="1"/>
  <c r="X80" i="1"/>
  <c r="AM117" i="1"/>
  <c r="L117" i="1"/>
  <c r="Z117" i="1"/>
  <c r="AC117" i="1"/>
  <c r="AM83" i="1"/>
  <c r="L83" i="1"/>
  <c r="Z83" i="1"/>
  <c r="I83" i="1"/>
  <c r="I84" i="1" s="1"/>
  <c r="AC83" i="1"/>
  <c r="X82" i="1"/>
  <c r="AM122" i="1"/>
  <c r="L122" i="1"/>
  <c r="Z122" i="1"/>
  <c r="AC122" i="1"/>
  <c r="AM78" i="1"/>
  <c r="L78" i="1"/>
  <c r="Z78" i="1"/>
  <c r="I78" i="1"/>
  <c r="I79" i="1" s="1"/>
  <c r="AC78" i="1"/>
  <c r="X77" i="1"/>
  <c r="AM119" i="1"/>
  <c r="L119" i="1"/>
  <c r="Z119" i="1"/>
  <c r="AC119" i="1"/>
  <c r="AM47" i="1"/>
  <c r="L47" i="1"/>
  <c r="I47" i="1"/>
  <c r="Z47" i="1"/>
  <c r="AC47" i="1"/>
  <c r="X45" i="1"/>
  <c r="X46" i="1"/>
  <c r="AM94" i="1"/>
  <c r="L94" i="1"/>
  <c r="Z94" i="1"/>
  <c r="AC94" i="1"/>
  <c r="AM133" i="1"/>
  <c r="L133" i="1"/>
  <c r="Z133" i="1"/>
  <c r="AC133" i="1"/>
  <c r="AM58" i="1"/>
  <c r="L58" i="1"/>
  <c r="Z58" i="1"/>
  <c r="I58" i="1"/>
  <c r="I59" i="1" s="1"/>
  <c r="I60" i="1" s="1"/>
  <c r="O60" i="1" s="1"/>
  <c r="AC58" i="1"/>
  <c r="X57" i="1"/>
  <c r="AM104" i="1"/>
  <c r="L104" i="1"/>
  <c r="Z104" i="1"/>
  <c r="AC104" i="1"/>
  <c r="AM64" i="1"/>
  <c r="L64" i="1"/>
  <c r="Z64" i="1"/>
  <c r="AC64" i="1"/>
  <c r="AM109" i="1"/>
  <c r="L109" i="1"/>
  <c r="Z109" i="1"/>
  <c r="AC109" i="1"/>
  <c r="AM84" i="1"/>
  <c r="L84" i="1"/>
  <c r="Z84" i="1"/>
  <c r="AC84" i="1"/>
  <c r="AM123" i="1"/>
  <c r="L123" i="1"/>
  <c r="Z123" i="1"/>
  <c r="AC123" i="1"/>
  <c r="AM24" i="1"/>
  <c r="L24" i="1"/>
  <c r="Z24" i="1"/>
  <c r="AC24" i="1"/>
  <c r="AM25" i="1"/>
  <c r="L25" i="1"/>
  <c r="Z25" i="1"/>
  <c r="AC25" i="1"/>
  <c r="AM23" i="1"/>
  <c r="L23" i="1"/>
  <c r="Z23" i="1"/>
  <c r="AC23" i="1"/>
  <c r="AM22" i="1"/>
  <c r="L22" i="1"/>
  <c r="Z22" i="1"/>
  <c r="AC22" i="1"/>
  <c r="AM20" i="1"/>
  <c r="L20" i="1"/>
  <c r="I20" i="1"/>
  <c r="I21" i="1" s="1"/>
  <c r="I22" i="1" s="1"/>
  <c r="I23" i="1" s="1"/>
  <c r="I24" i="1" s="1"/>
  <c r="I25" i="1" s="1"/>
  <c r="I26" i="1" s="1"/>
  <c r="Z20" i="1"/>
  <c r="AC20" i="1"/>
  <c r="X15" i="1"/>
  <c r="X18" i="1"/>
  <c r="X17" i="1"/>
  <c r="X16" i="1"/>
  <c r="AM28" i="1"/>
  <c r="L28" i="1"/>
  <c r="Z28" i="1"/>
  <c r="I28" i="1"/>
  <c r="I29" i="1" s="1"/>
  <c r="O29" i="1" s="1"/>
  <c r="AC28" i="1"/>
  <c r="X27" i="1"/>
  <c r="L26" i="1"/>
  <c r="AM26" i="1"/>
  <c r="Z26" i="1"/>
  <c r="AC26" i="1"/>
  <c r="L51" i="1"/>
  <c r="AM51" i="1"/>
  <c r="Z51" i="1"/>
  <c r="AC51" i="1"/>
  <c r="AM103" i="1"/>
  <c r="L103" i="1"/>
  <c r="Z103" i="1"/>
  <c r="AC103" i="1"/>
  <c r="AM138" i="1"/>
  <c r="L138" i="1"/>
  <c r="Z138" i="1"/>
  <c r="AC138" i="1"/>
  <c r="AM69" i="1"/>
  <c r="L69" i="1"/>
  <c r="Z69" i="1"/>
  <c r="AC69" i="1"/>
  <c r="AM108" i="1"/>
  <c r="L108" i="1"/>
  <c r="Z108" i="1"/>
  <c r="AC108" i="1"/>
  <c r="AM31" i="1"/>
  <c r="L31" i="1"/>
  <c r="I31" i="1"/>
  <c r="Z31" i="1"/>
  <c r="AC31" i="1"/>
  <c r="X30" i="1"/>
  <c r="AM70" i="1"/>
  <c r="L70" i="1"/>
  <c r="Z70" i="1"/>
  <c r="AC70" i="1"/>
  <c r="AM113" i="1"/>
  <c r="L113" i="1"/>
  <c r="Z113" i="1"/>
  <c r="AC113" i="1"/>
  <c r="L33" i="1"/>
  <c r="AM33" i="1"/>
  <c r="I33" i="1"/>
  <c r="I34" i="1" s="1"/>
  <c r="Z33" i="1"/>
  <c r="AC33" i="1"/>
  <c r="X32" i="1"/>
  <c r="AM89" i="1"/>
  <c r="L89" i="1"/>
  <c r="Z89" i="1"/>
  <c r="AC89" i="1"/>
  <c r="AM127" i="1"/>
  <c r="L127" i="1"/>
  <c r="Z127" i="1"/>
  <c r="AC127" i="1"/>
  <c r="AM34" i="1"/>
  <c r="L34" i="1"/>
  <c r="Z34" i="1"/>
  <c r="AC34" i="1"/>
  <c r="AM86" i="1"/>
  <c r="L86" i="1"/>
  <c r="Z86" i="1"/>
  <c r="I86" i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AC86" i="1"/>
  <c r="X85" i="1"/>
  <c r="AM124" i="1"/>
  <c r="L124" i="1"/>
  <c r="Z124" i="1"/>
  <c r="AC124" i="1"/>
  <c r="AM48" i="1"/>
  <c r="L48" i="1"/>
  <c r="Z48" i="1"/>
  <c r="I48" i="1"/>
  <c r="I49" i="1" s="1"/>
  <c r="I50" i="1" s="1"/>
  <c r="I51" i="1" s="1"/>
  <c r="I52" i="1" s="1"/>
  <c r="I53" i="1" s="1"/>
  <c r="I54" i="1" s="1"/>
  <c r="AC48" i="1"/>
  <c r="AM95" i="1"/>
  <c r="L95" i="1"/>
  <c r="Z95" i="1"/>
  <c r="AC95" i="1"/>
  <c r="AM129" i="1"/>
  <c r="L129" i="1"/>
  <c r="Z129" i="1"/>
  <c r="AC129" i="1"/>
  <c r="AM53" i="1"/>
  <c r="L53" i="1"/>
  <c r="Z53" i="1"/>
  <c r="AC53" i="1"/>
  <c r="AM96" i="1"/>
  <c r="L96" i="1"/>
  <c r="Z96" i="1"/>
  <c r="AC96" i="1"/>
  <c r="AM141" i="1"/>
  <c r="L141" i="1"/>
  <c r="Z141" i="1"/>
  <c r="AC141" i="1"/>
  <c r="AM71" i="1"/>
  <c r="L71" i="1"/>
  <c r="Z71" i="1"/>
  <c r="AC71" i="1"/>
  <c r="AM115" i="1"/>
  <c r="L115" i="1"/>
  <c r="I115" i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Z115" i="1"/>
  <c r="AC115" i="1"/>
  <c r="X114" i="1"/>
  <c r="AM40" i="1"/>
  <c r="L40" i="1"/>
  <c r="I40" i="1"/>
  <c r="Z40" i="1"/>
  <c r="AC40" i="1"/>
  <c r="X39" i="1"/>
  <c r="AM90" i="1"/>
  <c r="L90" i="1"/>
  <c r="Z90" i="1"/>
  <c r="AC90" i="1"/>
  <c r="AM128" i="1"/>
  <c r="L128" i="1"/>
  <c r="Z128" i="1"/>
  <c r="AC128" i="1"/>
  <c r="AM52" i="1"/>
  <c r="L52" i="1"/>
  <c r="Z52" i="1"/>
  <c r="AC52" i="1"/>
  <c r="AM99" i="1"/>
  <c r="L99" i="1"/>
  <c r="Z99" i="1"/>
  <c r="AC99" i="1"/>
  <c r="AM140" i="1"/>
  <c r="L140" i="1"/>
  <c r="I140" i="1"/>
  <c r="I141" i="1" s="1"/>
  <c r="Z140" i="1"/>
  <c r="AC140" i="1"/>
  <c r="X139" i="1"/>
  <c r="AM59" i="1"/>
  <c r="L59" i="1"/>
  <c r="Z59" i="1"/>
  <c r="AC59" i="1"/>
  <c r="AM101" i="1"/>
  <c r="L101" i="1"/>
  <c r="Z101" i="1"/>
  <c r="I101" i="1"/>
  <c r="I102" i="1" s="1"/>
  <c r="I103" i="1" s="1"/>
  <c r="I104" i="1" s="1"/>
  <c r="I105" i="1" s="1"/>
  <c r="AC101" i="1"/>
  <c r="X100" i="1"/>
  <c r="AM50" i="1"/>
  <c r="L50" i="1"/>
  <c r="Z50" i="1"/>
  <c r="AC50" i="1"/>
  <c r="AM102" i="1"/>
  <c r="L102" i="1"/>
  <c r="Z102" i="1"/>
  <c r="AC102" i="1"/>
  <c r="AM137" i="1"/>
  <c r="L137" i="1"/>
  <c r="I137" i="1"/>
  <c r="I138" i="1" s="1"/>
  <c r="Z137" i="1"/>
  <c r="AC137" i="1"/>
  <c r="X135" i="1"/>
  <c r="AM73" i="1"/>
  <c r="L73" i="1"/>
  <c r="I73" i="1"/>
  <c r="Z73" i="1"/>
  <c r="AC73" i="1"/>
  <c r="X72" i="1"/>
  <c r="AM116" i="1"/>
  <c r="L116" i="1"/>
  <c r="Z116" i="1"/>
  <c r="AC116" i="1"/>
  <c r="AM87" i="1"/>
  <c r="L87" i="1"/>
  <c r="Z87" i="1"/>
  <c r="AC87" i="1"/>
  <c r="AM121" i="1"/>
  <c r="L121" i="1"/>
  <c r="Z121" i="1"/>
  <c r="AC121" i="1"/>
  <c r="AM43" i="1"/>
  <c r="L43" i="1"/>
  <c r="Z43" i="1"/>
  <c r="AC43" i="1"/>
  <c r="AM88" i="1"/>
  <c r="L88" i="1"/>
  <c r="Z88" i="1"/>
  <c r="AC88" i="1"/>
  <c r="AM126" i="1"/>
  <c r="L126" i="1"/>
  <c r="Z126" i="1"/>
  <c r="AC126" i="1"/>
  <c r="AM54" i="1"/>
  <c r="L54" i="1"/>
  <c r="Z54" i="1"/>
  <c r="AC54" i="1"/>
  <c r="AM106" i="1"/>
  <c r="L106" i="1"/>
  <c r="Z106" i="1"/>
  <c r="AC106" i="1"/>
  <c r="AM143" i="1"/>
  <c r="L143" i="1"/>
  <c r="I143" i="1"/>
  <c r="I144" i="1" s="1"/>
  <c r="Z143" i="1"/>
  <c r="AC143" i="1"/>
  <c r="X142" i="1"/>
  <c r="AM21" i="1"/>
  <c r="L21" i="1"/>
  <c r="Z21" i="1"/>
  <c r="AC21" i="1"/>
  <c r="I64" i="1" l="1"/>
  <c r="I65" i="1" s="1"/>
  <c r="O141" i="2"/>
  <c r="O62" i="2"/>
  <c r="O83" i="1"/>
  <c r="O47" i="1"/>
  <c r="O43" i="1"/>
  <c r="O31" i="2"/>
  <c r="O68" i="1"/>
  <c r="O34" i="2"/>
  <c r="O58" i="2"/>
  <c r="O33" i="2"/>
  <c r="O20" i="2"/>
  <c r="I64" i="2"/>
  <c r="I65" i="2" s="1"/>
  <c r="O71" i="1"/>
  <c r="O22" i="2"/>
  <c r="O78" i="2"/>
  <c r="O21" i="2"/>
  <c r="O68" i="2"/>
  <c r="O137" i="1"/>
  <c r="O69" i="1"/>
  <c r="O40" i="2"/>
  <c r="O137" i="2"/>
  <c r="O140" i="2"/>
  <c r="O86" i="1"/>
  <c r="O70" i="1"/>
  <c r="O42" i="2"/>
  <c r="O28" i="2"/>
  <c r="O75" i="2"/>
  <c r="O69" i="2"/>
  <c r="I98" i="2"/>
  <c r="O97" i="2"/>
  <c r="O105" i="2"/>
  <c r="I106" i="2"/>
  <c r="I107" i="2" s="1"/>
  <c r="I108" i="2" s="1"/>
  <c r="I109" i="2" s="1"/>
  <c r="I110" i="2" s="1"/>
  <c r="I111" i="2" s="1"/>
  <c r="I112" i="2" s="1"/>
  <c r="I113" i="2" s="1"/>
  <c r="O59" i="1"/>
  <c r="O40" i="1"/>
  <c r="O25" i="2"/>
  <c r="O59" i="2"/>
  <c r="AB95" i="2"/>
  <c r="O128" i="2"/>
  <c r="O119" i="2"/>
  <c r="O96" i="2"/>
  <c r="AB125" i="2"/>
  <c r="L85" i="2"/>
  <c r="O85" i="2" s="1"/>
  <c r="AM85" i="2"/>
  <c r="Z85" i="2"/>
  <c r="AC85" i="2"/>
  <c r="O86" i="2"/>
  <c r="AB34" i="2"/>
  <c r="O71" i="2"/>
  <c r="AB130" i="2"/>
  <c r="AB92" i="2"/>
  <c r="O104" i="2"/>
  <c r="O103" i="2"/>
  <c r="AB126" i="2"/>
  <c r="O88" i="2"/>
  <c r="O43" i="2"/>
  <c r="O81" i="2"/>
  <c r="O116" i="2"/>
  <c r="AB73" i="2"/>
  <c r="AB72" i="2" s="1"/>
  <c r="L142" i="2"/>
  <c r="O142" i="2" s="1"/>
  <c r="AM142" i="2"/>
  <c r="Z142" i="2"/>
  <c r="AC142" i="2"/>
  <c r="O143" i="2"/>
  <c r="AB54" i="2"/>
  <c r="O23" i="2"/>
  <c r="AM17" i="2"/>
  <c r="L17" i="2"/>
  <c r="O17" i="2" s="1"/>
  <c r="Z17" i="2"/>
  <c r="AC17" i="2"/>
  <c r="AB122" i="2"/>
  <c r="AM82" i="2"/>
  <c r="L82" i="2"/>
  <c r="O82" i="2" s="1"/>
  <c r="Z82" i="2"/>
  <c r="AC82" i="2"/>
  <c r="O83" i="2"/>
  <c r="AB111" i="2"/>
  <c r="L67" i="2"/>
  <c r="O67" i="2" s="1"/>
  <c r="AM67" i="2"/>
  <c r="Z67" i="2"/>
  <c r="AC67" i="2"/>
  <c r="O102" i="2"/>
  <c r="AB118" i="2"/>
  <c r="AB69" i="2"/>
  <c r="AB62" i="2"/>
  <c r="O93" i="2"/>
  <c r="AB44" i="2"/>
  <c r="O121" i="2"/>
  <c r="AB87" i="2"/>
  <c r="AB109" i="2"/>
  <c r="AB99" i="2"/>
  <c r="L46" i="2"/>
  <c r="O46" i="2" s="1"/>
  <c r="AM46" i="2"/>
  <c r="Z46" i="2"/>
  <c r="AC46" i="2"/>
  <c r="O47" i="2"/>
  <c r="O116" i="1"/>
  <c r="O129" i="2"/>
  <c r="O90" i="2"/>
  <c r="AB40" i="2"/>
  <c r="AB39" i="2" s="1"/>
  <c r="AB78" i="2"/>
  <c r="AB141" i="2"/>
  <c r="O53" i="2"/>
  <c r="AB91" i="2"/>
  <c r="L41" i="2"/>
  <c r="O41" i="2" s="1"/>
  <c r="AM41" i="2"/>
  <c r="Z41" i="2"/>
  <c r="AC41" i="2"/>
  <c r="AB124" i="2"/>
  <c r="AB115" i="2"/>
  <c r="O130" i="2"/>
  <c r="AB49" i="2"/>
  <c r="AB58" i="2"/>
  <c r="O51" i="2"/>
  <c r="AB127" i="2"/>
  <c r="AB89" i="2"/>
  <c r="L32" i="2"/>
  <c r="O32" i="2" s="1"/>
  <c r="AM32" i="2"/>
  <c r="Z32" i="2"/>
  <c r="AC32" i="2"/>
  <c r="O117" i="2"/>
  <c r="AB81" i="2"/>
  <c r="AB80" i="2" s="1"/>
  <c r="AB21" i="2"/>
  <c r="O24" i="2"/>
  <c r="AM16" i="2"/>
  <c r="L16" i="2"/>
  <c r="O16" i="2" s="1"/>
  <c r="Z16" i="2"/>
  <c r="AC16" i="2"/>
  <c r="AB20" i="2"/>
  <c r="L27" i="2"/>
  <c r="O27" i="2" s="1"/>
  <c r="AM27" i="2"/>
  <c r="Z27" i="2"/>
  <c r="AC27" i="2"/>
  <c r="O112" i="2"/>
  <c r="AB75" i="2"/>
  <c r="L30" i="2"/>
  <c r="O30" i="2" s="1"/>
  <c r="AM30" i="2"/>
  <c r="Z30" i="2"/>
  <c r="AC30" i="2"/>
  <c r="L66" i="2"/>
  <c r="O66" i="2" s="1"/>
  <c r="AM66" i="2"/>
  <c r="Z66" i="2"/>
  <c r="AC66" i="2"/>
  <c r="AB137" i="2"/>
  <c r="O50" i="2"/>
  <c r="AB76" i="2"/>
  <c r="AB144" i="2"/>
  <c r="AM61" i="2"/>
  <c r="L61" i="2"/>
  <c r="O61" i="2" s="1"/>
  <c r="Z61" i="2"/>
  <c r="AC61" i="2"/>
  <c r="O44" i="2"/>
  <c r="AB113" i="2"/>
  <c r="AB70" i="2"/>
  <c r="O87" i="2"/>
  <c r="AB120" i="2"/>
  <c r="AB79" i="2"/>
  <c r="O65" i="2"/>
  <c r="AM139" i="2"/>
  <c r="L139" i="2"/>
  <c r="O139" i="2" s="1"/>
  <c r="Z139" i="2"/>
  <c r="AC139" i="2"/>
  <c r="AB52" i="2"/>
  <c r="O133" i="2"/>
  <c r="O94" i="2"/>
  <c r="O123" i="2"/>
  <c r="AB84" i="2"/>
  <c r="O143" i="1"/>
  <c r="AB101" i="2"/>
  <c r="O95" i="2"/>
  <c r="AB48" i="2"/>
  <c r="AB128" i="2"/>
  <c r="AB119" i="2"/>
  <c r="L77" i="2"/>
  <c r="O77" i="2" s="1"/>
  <c r="AM77" i="2"/>
  <c r="Z77" i="2"/>
  <c r="AC77" i="2"/>
  <c r="O124" i="2"/>
  <c r="AB71" i="2"/>
  <c r="O92" i="2"/>
  <c r="L57" i="2"/>
  <c r="O57" i="2" s="1"/>
  <c r="AM57" i="2"/>
  <c r="Z57" i="2"/>
  <c r="AC57" i="2"/>
  <c r="AB138" i="2"/>
  <c r="O126" i="2"/>
  <c r="AB88" i="2"/>
  <c r="AB116" i="2"/>
  <c r="L72" i="2"/>
  <c r="O72" i="2" s="1"/>
  <c r="AM72" i="2"/>
  <c r="Z72" i="2"/>
  <c r="AC72" i="2"/>
  <c r="O73" i="2"/>
  <c r="AB143" i="2"/>
  <c r="O54" i="2"/>
  <c r="AM15" i="2"/>
  <c r="Z15" i="2"/>
  <c r="AB26" i="2"/>
  <c r="O122" i="2"/>
  <c r="O111" i="2"/>
  <c r="AB108" i="2"/>
  <c r="O144" i="2"/>
  <c r="AB107" i="2"/>
  <c r="AB132" i="2"/>
  <c r="AB93" i="2"/>
  <c r="O113" i="2"/>
  <c r="AB121" i="2"/>
  <c r="O120" i="2"/>
  <c r="AB110" i="2"/>
  <c r="O109" i="2"/>
  <c r="AB64" i="2"/>
  <c r="AB133" i="2"/>
  <c r="AB47" i="2"/>
  <c r="O84" i="2"/>
  <c r="O101" i="1"/>
  <c r="O28" i="1"/>
  <c r="O81" i="1"/>
  <c r="AB25" i="2"/>
  <c r="AB22" i="2"/>
  <c r="L100" i="2"/>
  <c r="O100" i="2" s="1"/>
  <c r="AM100" i="2"/>
  <c r="Z100" i="2"/>
  <c r="AC100" i="2"/>
  <c r="O101" i="2"/>
  <c r="AB59" i="2"/>
  <c r="AB129" i="2"/>
  <c r="O48" i="2"/>
  <c r="AB90" i="2"/>
  <c r="L39" i="2"/>
  <c r="O39" i="2" s="1"/>
  <c r="AM39" i="2"/>
  <c r="Z39" i="2"/>
  <c r="AC39" i="2"/>
  <c r="AB96" i="2"/>
  <c r="AB53" i="2"/>
  <c r="O125" i="2"/>
  <c r="O91" i="2"/>
  <c r="AB42" i="2"/>
  <c r="AB86" i="2"/>
  <c r="L114" i="2"/>
  <c r="O114" i="2" s="1"/>
  <c r="AM114" i="2"/>
  <c r="Z114" i="2"/>
  <c r="AC114" i="2"/>
  <c r="O115" i="2"/>
  <c r="O49" i="2"/>
  <c r="AB104" i="2"/>
  <c r="O138" i="2"/>
  <c r="AB103" i="2"/>
  <c r="AB51" i="2"/>
  <c r="O127" i="2"/>
  <c r="O89" i="2"/>
  <c r="AB33" i="2"/>
  <c r="AB43" i="2"/>
  <c r="AB117" i="2"/>
  <c r="L80" i="2"/>
  <c r="O80" i="2" s="1"/>
  <c r="AM80" i="2"/>
  <c r="Z80" i="2"/>
  <c r="AC80" i="2"/>
  <c r="AB106" i="2"/>
  <c r="AB23" i="2"/>
  <c r="AB24" i="2"/>
  <c r="AM18" i="2"/>
  <c r="L18" i="2"/>
  <c r="O18" i="2" s="1"/>
  <c r="Z18" i="2"/>
  <c r="AC18" i="2"/>
  <c r="O26" i="2"/>
  <c r="AB28" i="2"/>
  <c r="AB27" i="2" s="1"/>
  <c r="AB83" i="2"/>
  <c r="AB82" i="2" s="1"/>
  <c r="AB112" i="2"/>
  <c r="L74" i="2"/>
  <c r="O74" i="2" s="1"/>
  <c r="AM74" i="2"/>
  <c r="Z74" i="2"/>
  <c r="AC74" i="2"/>
  <c r="AB31" i="2"/>
  <c r="AB30" i="2" s="1"/>
  <c r="AB68" i="2"/>
  <c r="L135" i="2"/>
  <c r="O135" i="2" s="1"/>
  <c r="AM135" i="2"/>
  <c r="Z135" i="2"/>
  <c r="AC135" i="2"/>
  <c r="AB102" i="2"/>
  <c r="AB50" i="2"/>
  <c r="O118" i="2"/>
  <c r="O76" i="2"/>
  <c r="O107" i="2"/>
  <c r="AM131" i="2"/>
  <c r="L131" i="2"/>
  <c r="O131" i="2" s="1"/>
  <c r="Z131" i="2"/>
  <c r="AC131" i="2"/>
  <c r="O132" i="2"/>
  <c r="O70" i="2"/>
  <c r="O79" i="2"/>
  <c r="AB65" i="2"/>
  <c r="O64" i="2"/>
  <c r="AB140" i="2"/>
  <c r="AB139" i="2" s="1"/>
  <c r="O52" i="2"/>
  <c r="AB94" i="2"/>
  <c r="L45" i="2"/>
  <c r="O45" i="2" s="1"/>
  <c r="AM45" i="2"/>
  <c r="Z45" i="2"/>
  <c r="AC45" i="2"/>
  <c r="AB123" i="2"/>
  <c r="O105" i="1"/>
  <c r="I106" i="1"/>
  <c r="I107" i="1" s="1"/>
  <c r="I108" i="1" s="1"/>
  <c r="I109" i="1" s="1"/>
  <c r="I110" i="1" s="1"/>
  <c r="I111" i="1" s="1"/>
  <c r="I112" i="1" s="1"/>
  <c r="I113" i="1" s="1"/>
  <c r="O113" i="1" s="1"/>
  <c r="I98" i="1"/>
  <c r="O97" i="1"/>
  <c r="AB106" i="1"/>
  <c r="O126" i="1"/>
  <c r="AB43" i="1"/>
  <c r="O87" i="1"/>
  <c r="AB116" i="1"/>
  <c r="AB101" i="1"/>
  <c r="AB59" i="1"/>
  <c r="AM139" i="1"/>
  <c r="L139" i="1"/>
  <c r="O139" i="1" s="1"/>
  <c r="Z139" i="1"/>
  <c r="AC139" i="1"/>
  <c r="O140" i="1"/>
  <c r="AB99" i="1"/>
  <c r="AB52" i="1"/>
  <c r="O90" i="1"/>
  <c r="AB40" i="1"/>
  <c r="AB39" i="1" s="1"/>
  <c r="AM114" i="1"/>
  <c r="L114" i="1"/>
  <c r="O114" i="1" s="1"/>
  <c r="Z114" i="1"/>
  <c r="AC114" i="1"/>
  <c r="O115" i="1"/>
  <c r="AB141" i="1"/>
  <c r="O53" i="1"/>
  <c r="O124" i="1"/>
  <c r="O127" i="1"/>
  <c r="AB89" i="1"/>
  <c r="O33" i="1"/>
  <c r="AB70" i="1"/>
  <c r="AM15" i="1"/>
  <c r="Z15" i="1"/>
  <c r="O20" i="1"/>
  <c r="AB23" i="1"/>
  <c r="O24" i="1"/>
  <c r="AB123" i="1"/>
  <c r="AB64" i="1"/>
  <c r="AB104" i="1"/>
  <c r="AM57" i="1"/>
  <c r="L57" i="1"/>
  <c r="O57" i="1" s="1"/>
  <c r="Z57" i="1"/>
  <c r="AC57" i="1"/>
  <c r="O58" i="1"/>
  <c r="AB133" i="1"/>
  <c r="L46" i="1"/>
  <c r="O46" i="1" s="1"/>
  <c r="AM46" i="1"/>
  <c r="Z46" i="1"/>
  <c r="AC46" i="1"/>
  <c r="AB119" i="1"/>
  <c r="AM77" i="1"/>
  <c r="L77" i="1"/>
  <c r="O77" i="1" s="1"/>
  <c r="Z77" i="1"/>
  <c r="AC77" i="1"/>
  <c r="O78" i="1"/>
  <c r="O117" i="1"/>
  <c r="L131" i="1"/>
  <c r="O131" i="1" s="1"/>
  <c r="AM131" i="1"/>
  <c r="Z131" i="1"/>
  <c r="AC131" i="1"/>
  <c r="O132" i="1"/>
  <c r="O76" i="1"/>
  <c r="O144" i="1"/>
  <c r="O49" i="1"/>
  <c r="L41" i="1"/>
  <c r="O41" i="1" s="1"/>
  <c r="AM41" i="1"/>
  <c r="Z41" i="1"/>
  <c r="AC41" i="1"/>
  <c r="O42" i="1"/>
  <c r="AB79" i="1"/>
  <c r="AB21" i="1"/>
  <c r="L142" i="1"/>
  <c r="O142" i="1" s="1"/>
  <c r="AM142" i="1"/>
  <c r="Z142" i="1"/>
  <c r="AC142" i="1"/>
  <c r="O88" i="1"/>
  <c r="AB121" i="1"/>
  <c r="AB73" i="1"/>
  <c r="AB72" i="1" s="1"/>
  <c r="L135" i="1"/>
  <c r="O135" i="1" s="1"/>
  <c r="AM135" i="1"/>
  <c r="Z135" i="1"/>
  <c r="AC135" i="1"/>
  <c r="AB102" i="1"/>
  <c r="L100" i="1"/>
  <c r="O100" i="1" s="1"/>
  <c r="AM100" i="1"/>
  <c r="Z100" i="1"/>
  <c r="AC100" i="1"/>
  <c r="AB96" i="1"/>
  <c r="O129" i="1"/>
  <c r="AB95" i="1"/>
  <c r="AB86" i="1"/>
  <c r="AB34" i="1"/>
  <c r="O89" i="1"/>
  <c r="AB33" i="1"/>
  <c r="AB31" i="1"/>
  <c r="AB30" i="1" s="1"/>
  <c r="AB138" i="1"/>
  <c r="AB103" i="1"/>
  <c r="O51" i="1"/>
  <c r="L16" i="1"/>
  <c r="O16" i="1" s="1"/>
  <c r="AM16" i="1"/>
  <c r="Z16" i="1"/>
  <c r="AC16" i="1"/>
  <c r="O22" i="1"/>
  <c r="AB25" i="1"/>
  <c r="AB84" i="1"/>
  <c r="O64" i="1"/>
  <c r="O133" i="1"/>
  <c r="AB94" i="1"/>
  <c r="L45" i="1"/>
  <c r="O45" i="1" s="1"/>
  <c r="AM45" i="1"/>
  <c r="Z45" i="1"/>
  <c r="AC45" i="1"/>
  <c r="O122" i="1"/>
  <c r="AB81" i="1"/>
  <c r="AB80" i="1" s="1"/>
  <c r="AB111" i="1"/>
  <c r="L66" i="1"/>
  <c r="O66" i="1" s="1"/>
  <c r="AM66" i="1"/>
  <c r="Z66" i="1"/>
  <c r="AC66" i="1"/>
  <c r="AB68" i="1"/>
  <c r="O93" i="1"/>
  <c r="AB44" i="1"/>
  <c r="AB118" i="1"/>
  <c r="AB75" i="1"/>
  <c r="O107" i="1"/>
  <c r="AB62" i="1"/>
  <c r="O65" i="1"/>
  <c r="AB130" i="1"/>
  <c r="AB91" i="1"/>
  <c r="O120" i="1"/>
  <c r="AB54" i="1"/>
  <c r="AB87" i="1"/>
  <c r="O102" i="1"/>
  <c r="AB50" i="1"/>
  <c r="AB140" i="1"/>
  <c r="O52" i="1"/>
  <c r="AB128" i="1"/>
  <c r="L39" i="1"/>
  <c r="O39" i="1" s="1"/>
  <c r="AM39" i="1"/>
  <c r="Z39" i="1"/>
  <c r="AC39" i="1"/>
  <c r="AB115" i="1"/>
  <c r="O141" i="1"/>
  <c r="O95" i="1"/>
  <c r="AB48" i="1"/>
  <c r="AB124" i="1"/>
  <c r="L85" i="1"/>
  <c r="O85" i="1" s="1"/>
  <c r="AM85" i="1"/>
  <c r="Z85" i="1"/>
  <c r="AC85" i="1"/>
  <c r="AB127" i="1"/>
  <c r="O138" i="1"/>
  <c r="AB51" i="1"/>
  <c r="O26" i="1"/>
  <c r="AB28" i="1"/>
  <c r="AB27" i="1" s="1"/>
  <c r="L17" i="1"/>
  <c r="O17" i="1" s="1"/>
  <c r="AM17" i="1"/>
  <c r="Z17" i="1"/>
  <c r="AC17" i="1"/>
  <c r="AB20" i="1"/>
  <c r="O23" i="1"/>
  <c r="AB24" i="1"/>
  <c r="O123" i="1"/>
  <c r="O104" i="1"/>
  <c r="O94" i="1"/>
  <c r="O119" i="1"/>
  <c r="AB83" i="1"/>
  <c r="AB117" i="1"/>
  <c r="L80" i="1"/>
  <c r="O80" i="1" s="1"/>
  <c r="AM80" i="1"/>
  <c r="Z80" i="1"/>
  <c r="AC80" i="1"/>
  <c r="L67" i="1"/>
  <c r="O67" i="1" s="1"/>
  <c r="AM67" i="1"/>
  <c r="Z67" i="1"/>
  <c r="AC67" i="1"/>
  <c r="AB132" i="1"/>
  <c r="AB131" i="1" s="1"/>
  <c r="O44" i="1"/>
  <c r="AB144" i="1"/>
  <c r="O130" i="1"/>
  <c r="AB92" i="1"/>
  <c r="O125" i="1"/>
  <c r="O91" i="1"/>
  <c r="AB42" i="1"/>
  <c r="O79" i="1"/>
  <c r="O21" i="1"/>
  <c r="AB143" i="1"/>
  <c r="AB142" i="1" s="1"/>
  <c r="O54" i="1"/>
  <c r="AB126" i="1"/>
  <c r="AB88" i="1"/>
  <c r="O121" i="1"/>
  <c r="L72" i="1"/>
  <c r="O72" i="1" s="1"/>
  <c r="AM72" i="1"/>
  <c r="Z72" i="1"/>
  <c r="AC72" i="1"/>
  <c r="O73" i="1"/>
  <c r="AB137" i="1"/>
  <c r="O50" i="1"/>
  <c r="O128" i="1"/>
  <c r="AB90" i="1"/>
  <c r="AB71" i="1"/>
  <c r="O96" i="1"/>
  <c r="AB53" i="1"/>
  <c r="AB129" i="1"/>
  <c r="O48" i="1"/>
  <c r="O34" i="1"/>
  <c r="L32" i="1"/>
  <c r="O32" i="1" s="1"/>
  <c r="AM32" i="1"/>
  <c r="Z32" i="1"/>
  <c r="AC32" i="1"/>
  <c r="AB113" i="1"/>
  <c r="L30" i="1"/>
  <c r="O30" i="1" s="1"/>
  <c r="AM30" i="1"/>
  <c r="Z30" i="1"/>
  <c r="AC30" i="1"/>
  <c r="O31" i="1"/>
  <c r="AB108" i="1"/>
  <c r="AB69" i="1"/>
  <c r="O103" i="1"/>
  <c r="AB26" i="1"/>
  <c r="L27" i="1"/>
  <c r="O27" i="1" s="1"/>
  <c r="AM27" i="1"/>
  <c r="Z27" i="1"/>
  <c r="AC27" i="1"/>
  <c r="L18" i="1"/>
  <c r="O18" i="1" s="1"/>
  <c r="AM18" i="1"/>
  <c r="Z18" i="1"/>
  <c r="AC18" i="1"/>
  <c r="AB22" i="1"/>
  <c r="O25" i="1"/>
  <c r="O84" i="1"/>
  <c r="AB109" i="1"/>
  <c r="AB58" i="1"/>
  <c r="AB47" i="1"/>
  <c r="AB78" i="1"/>
  <c r="AB122" i="1"/>
  <c r="L82" i="1"/>
  <c r="O82" i="1" s="1"/>
  <c r="AM82" i="1"/>
  <c r="Z82" i="1"/>
  <c r="AC82" i="1"/>
  <c r="O111" i="1"/>
  <c r="AB93" i="1"/>
  <c r="O118" i="1"/>
  <c r="AB76" i="1"/>
  <c r="AB112" i="1"/>
  <c r="L74" i="1"/>
  <c r="O74" i="1" s="1"/>
  <c r="AM74" i="1"/>
  <c r="Z74" i="1"/>
  <c r="AC74" i="1"/>
  <c r="O75" i="1"/>
  <c r="AB107" i="1"/>
  <c r="L61" i="1"/>
  <c r="O61" i="1" s="1"/>
  <c r="AM61" i="1"/>
  <c r="Z61" i="1"/>
  <c r="AC61" i="1"/>
  <c r="O62" i="1"/>
  <c r="AB110" i="1"/>
  <c r="AB65" i="1"/>
  <c r="O92" i="1"/>
  <c r="AB49" i="1"/>
  <c r="AB125" i="1"/>
  <c r="AB120" i="1"/>
  <c r="AB57" i="1" l="1"/>
  <c r="AB142" i="2"/>
  <c r="AB77" i="1"/>
  <c r="AB32" i="2"/>
  <c r="AB135" i="1"/>
  <c r="O106" i="2"/>
  <c r="AB82" i="1"/>
  <c r="O110" i="2"/>
  <c r="AB41" i="1"/>
  <c r="O106" i="1"/>
  <c r="O112" i="1"/>
  <c r="O108" i="2"/>
  <c r="O108" i="1"/>
  <c r="AB139" i="1"/>
  <c r="AB32" i="1"/>
  <c r="AB131" i="2"/>
  <c r="O110" i="1"/>
  <c r="O109" i="1"/>
  <c r="AB100" i="2"/>
  <c r="AB15" i="2"/>
  <c r="AB16" i="2"/>
  <c r="AB18" i="2"/>
  <c r="AB17" i="2"/>
  <c r="AB46" i="2"/>
  <c r="AB45" i="2"/>
  <c r="AB74" i="2"/>
  <c r="AC11" i="2"/>
  <c r="AB66" i="2"/>
  <c r="AB67" i="2"/>
  <c r="AB41" i="2"/>
  <c r="AB135" i="2"/>
  <c r="AB57" i="2"/>
  <c r="AB114" i="2"/>
  <c r="AB85" i="2"/>
  <c r="AB77" i="2"/>
  <c r="AB61" i="2"/>
  <c r="O98" i="2"/>
  <c r="I99" i="2"/>
  <c r="O99" i="2" s="1"/>
  <c r="AB46" i="1"/>
  <c r="AB45" i="1"/>
  <c r="O98" i="1"/>
  <c r="I99" i="1"/>
  <c r="O99" i="1" s="1"/>
  <c r="AB16" i="1"/>
  <c r="AB18" i="1"/>
  <c r="AB17" i="1"/>
  <c r="AB114" i="1"/>
  <c r="AB74" i="1"/>
  <c r="AC11" i="1"/>
  <c r="AB85" i="1"/>
  <c r="AB15" i="1"/>
  <c r="AB61" i="1"/>
  <c r="AB67" i="1"/>
  <c r="AB66" i="1"/>
  <c r="AB100" i="1"/>
  <c r="AA36" i="2" l="1"/>
  <c r="AA124" i="2" l="1"/>
  <c r="AA64" i="1"/>
  <c r="AA21" i="2"/>
  <c r="AA68" i="1"/>
  <c r="AA78" i="1"/>
  <c r="AA53" i="1"/>
  <c r="AA90" i="1"/>
  <c r="AA58" i="2"/>
  <c r="AA56" i="2"/>
  <c r="AA55" i="2" s="1"/>
  <c r="AA117" i="1"/>
  <c r="AA87" i="1"/>
  <c r="AA52" i="1"/>
  <c r="AA47" i="2"/>
  <c r="AA111" i="1"/>
  <c r="AA40" i="1"/>
  <c r="AA39" i="1" s="1"/>
  <c r="AA140" i="2"/>
  <c r="AA26" i="1"/>
  <c r="AA24" i="1"/>
  <c r="AA31" i="1"/>
  <c r="AA30" i="1" s="1"/>
  <c r="AA116" i="1"/>
  <c r="AA71" i="1"/>
  <c r="AA130" i="1"/>
  <c r="AA122" i="1"/>
  <c r="AA102" i="1"/>
  <c r="AA51" i="1"/>
  <c r="AA134" i="1"/>
  <c r="AA104" i="2"/>
  <c r="AA68" i="2"/>
  <c r="AA54" i="2"/>
  <c r="AA108" i="2"/>
  <c r="AA117" i="2"/>
  <c r="AA99" i="2"/>
  <c r="AA29" i="2"/>
  <c r="AA108" i="1"/>
  <c r="AA28" i="1"/>
  <c r="AA96" i="1"/>
  <c r="AA125" i="1"/>
  <c r="AA126" i="1"/>
  <c r="AA33" i="1"/>
  <c r="AA144" i="1"/>
  <c r="AA101" i="1"/>
  <c r="AA44" i="1"/>
  <c r="AA63" i="1"/>
  <c r="AA88" i="2"/>
  <c r="AA42" i="2"/>
  <c r="AA123" i="2"/>
  <c r="AA144" i="2"/>
  <c r="AA133" i="2"/>
  <c r="AA95" i="2"/>
  <c r="AA76" i="1"/>
  <c r="AA143" i="1"/>
  <c r="AA62" i="1"/>
  <c r="AA133" i="1"/>
  <c r="AA65" i="1"/>
  <c r="AA128" i="1"/>
  <c r="AA73" i="1"/>
  <c r="AA72" i="1" s="1"/>
  <c r="AA50" i="1"/>
  <c r="AA107" i="1"/>
  <c r="AA121" i="1"/>
  <c r="AA37" i="1"/>
  <c r="AA79" i="2"/>
  <c r="AA101" i="2"/>
  <c r="AA51" i="2"/>
  <c r="AA109" i="2"/>
  <c r="AA84" i="2"/>
  <c r="AA98" i="2"/>
  <c r="AA58" i="1"/>
  <c r="AA92" i="1"/>
  <c r="AA140" i="1"/>
  <c r="AA95" i="1"/>
  <c r="AA59" i="1"/>
  <c r="AA109" i="1"/>
  <c r="AA124" i="1"/>
  <c r="AA94" i="1"/>
  <c r="AA119" i="1"/>
  <c r="AA99" i="1"/>
  <c r="AA47" i="1"/>
  <c r="AA132" i="1"/>
  <c r="AA54" i="1"/>
  <c r="AA81" i="1"/>
  <c r="AA80" i="1" s="1"/>
  <c r="AA21" i="1"/>
  <c r="AA120" i="1"/>
  <c r="AA69" i="1"/>
  <c r="AA88" i="1"/>
  <c r="AA127" i="1"/>
  <c r="AA25" i="1"/>
  <c r="AA79" i="1"/>
  <c r="AA43" i="1"/>
  <c r="AA105" i="1"/>
  <c r="AA60" i="1"/>
  <c r="AA36" i="1"/>
  <c r="AA83" i="2"/>
  <c r="AA86" i="2"/>
  <c r="AA138" i="2"/>
  <c r="AA70" i="2"/>
  <c r="AA78" i="2"/>
  <c r="AA112" i="2"/>
  <c r="AA53" i="2"/>
  <c r="AA120" i="2"/>
  <c r="AA87" i="2"/>
  <c r="AA126" i="2"/>
  <c r="AA65" i="2"/>
  <c r="AA90" i="2"/>
  <c r="AA64" i="2"/>
  <c r="AA116" i="2"/>
  <c r="AA91" i="2"/>
  <c r="AA62" i="2"/>
  <c r="AA102" i="2"/>
  <c r="AA33" i="2"/>
  <c r="AA107" i="2"/>
  <c r="AA113" i="2"/>
  <c r="AA127" i="2"/>
  <c r="AA118" i="2"/>
  <c r="AA136" i="2"/>
  <c r="AA97" i="2"/>
  <c r="AA38" i="2"/>
  <c r="AA19" i="2"/>
  <c r="AA70" i="1"/>
  <c r="AA112" i="1"/>
  <c r="AA22" i="1"/>
  <c r="AA83" i="1"/>
  <c r="AA91" i="1"/>
  <c r="AA84" i="1"/>
  <c r="AA23" i="1"/>
  <c r="AA49" i="1"/>
  <c r="AA113" i="1"/>
  <c r="AA42" i="1"/>
  <c r="AA115" i="1"/>
  <c r="AA103" i="1"/>
  <c r="AA104" i="1"/>
  <c r="AA106" i="1"/>
  <c r="AA98" i="1"/>
  <c r="AA56" i="1"/>
  <c r="AA55" i="1" s="1"/>
  <c r="AA29" i="1"/>
  <c r="AA43" i="2"/>
  <c r="AA93" i="2"/>
  <c r="AA128" i="2"/>
  <c r="AA76" i="2"/>
  <c r="AA44" i="2"/>
  <c r="AA24" i="2"/>
  <c r="AA129" i="2"/>
  <c r="AA81" i="2"/>
  <c r="AA80" i="2" s="1"/>
  <c r="AA69" i="2"/>
  <c r="AA92" i="2"/>
  <c r="AA50" i="2"/>
  <c r="AA59" i="2"/>
  <c r="AA110" i="2"/>
  <c r="AA119" i="2"/>
  <c r="AA141" i="2"/>
  <c r="AA111" i="2"/>
  <c r="AA31" i="2"/>
  <c r="AA30" i="2" s="1"/>
  <c r="AA96" i="2"/>
  <c r="AA26" i="2"/>
  <c r="AA137" i="2"/>
  <c r="AA135" i="2" s="1"/>
  <c r="AA49" i="2"/>
  <c r="AA130" i="2"/>
  <c r="AA134" i="2"/>
  <c r="AA63" i="2"/>
  <c r="AA37" i="2"/>
  <c r="AA34" i="1"/>
  <c r="AA89" i="1"/>
  <c r="AA93" i="1"/>
  <c r="AA137" i="1"/>
  <c r="AA48" i="1"/>
  <c r="AA118" i="1"/>
  <c r="AA138" i="1"/>
  <c r="AA141" i="1"/>
  <c r="AA110" i="1"/>
  <c r="AA129" i="1"/>
  <c r="AA20" i="1"/>
  <c r="AA75" i="1"/>
  <c r="AA86" i="1"/>
  <c r="AA123" i="1"/>
  <c r="AA136" i="1"/>
  <c r="AA97" i="1"/>
  <c r="AA38" i="1"/>
  <c r="AA19" i="1"/>
  <c r="AA103" i="2"/>
  <c r="AA143" i="2"/>
  <c r="AA142" i="2" s="1"/>
  <c r="AA52" i="2"/>
  <c r="AA75" i="2"/>
  <c r="AA73" i="2"/>
  <c r="AA72" i="2" s="1"/>
  <c r="AA106" i="2"/>
  <c r="AA121" i="2"/>
  <c r="AA89" i="2"/>
  <c r="AA122" i="2"/>
  <c r="AA125" i="2"/>
  <c r="AA28" i="2"/>
  <c r="AA22" i="2"/>
  <c r="AA132" i="2"/>
  <c r="AA48" i="2"/>
  <c r="AA40" i="2"/>
  <c r="AA39" i="2" s="1"/>
  <c r="AA94" i="2"/>
  <c r="AA23" i="2"/>
  <c r="AA25" i="2"/>
  <c r="AA71" i="2"/>
  <c r="AA20" i="2"/>
  <c r="AA115" i="2"/>
  <c r="AA34" i="2"/>
  <c r="AA105" i="2"/>
  <c r="AA60" i="2"/>
  <c r="AA32" i="2" l="1"/>
  <c r="AA139" i="1"/>
  <c r="AA74" i="1"/>
  <c r="AA131" i="1"/>
  <c r="AA77" i="1"/>
  <c r="AA27" i="2"/>
  <c r="AA139" i="2"/>
  <c r="AA131" i="2"/>
  <c r="AA135" i="1"/>
  <c r="AA67" i="1"/>
  <c r="AA114" i="1"/>
  <c r="AA35" i="2"/>
  <c r="AA41" i="1"/>
  <c r="AA142" i="1"/>
  <c r="AA17" i="1"/>
  <c r="AA61" i="1"/>
  <c r="AA57" i="2"/>
  <c r="AA74" i="2"/>
  <c r="AA18" i="1"/>
  <c r="AA41" i="2"/>
  <c r="AA35" i="1"/>
  <c r="AA66" i="1"/>
  <c r="AA45" i="1"/>
  <c r="AA27" i="1"/>
  <c r="AA77" i="2"/>
  <c r="AA15" i="1"/>
  <c r="AA100" i="2"/>
  <c r="AA32" i="1"/>
  <c r="AA82" i="2"/>
  <c r="AA45" i="2"/>
  <c r="AA46" i="2"/>
  <c r="AA16" i="2"/>
  <c r="AA18" i="2"/>
  <c r="AA16" i="1"/>
  <c r="AA15" i="2"/>
  <c r="AA85" i="1"/>
  <c r="AA66" i="2"/>
  <c r="AA67" i="2"/>
  <c r="AA61" i="2"/>
  <c r="AA100" i="1"/>
  <c r="AA17" i="2"/>
  <c r="AA114" i="2"/>
  <c r="AA85" i="2"/>
  <c r="AA46" i="1"/>
  <c r="AA82" i="1"/>
  <c r="AA57" i="1"/>
</calcChain>
</file>

<file path=xl/comments1.xml><?xml version="1.0" encoding="utf-8"?>
<comments xmlns="http://schemas.openxmlformats.org/spreadsheetml/2006/main">
  <authors>
    <author/>
  </authors>
  <commentList>
    <comment ref="AJ7" authorId="0" shapeId="0">
      <text>
        <r>
          <rPr>
            <b/>
            <sz val="9"/>
            <color indexed="8"/>
            <rFont val="Tahoma"/>
            <family val="2"/>
          </rPr>
          <t xml:space="preserve">QUANTIDADES:
</t>
        </r>
        <r>
          <rPr>
            <sz val="9"/>
            <color indexed="8"/>
            <rFont val="Tahoma"/>
            <family val="2"/>
          </rPr>
          <t>PREENCHA AS QUANTIDADES AQUI PARA ACOMPANHAMENTOS POR BM.</t>
        </r>
      </text>
    </comment>
    <comment ref="AL7" authorId="0" shapeId="0">
      <text>
        <r>
          <rPr>
            <b/>
            <sz val="9"/>
            <color indexed="8"/>
            <rFont val="Tahoma"/>
            <family val="2"/>
          </rPr>
          <t xml:space="preserve">PREÇO UNITÁRIO LICITADO:
</t>
        </r>
        <r>
          <rPr>
            <sz val="9"/>
            <color indexed="8"/>
            <rFont val="Tahoma"/>
            <family val="2"/>
          </rPr>
          <t>PREENCHA AQUI O PREÇO UNITÁRIO DA LICITAÇÃO.</t>
        </r>
      </text>
    </comment>
    <comment ref="L8" authorId="0" shapeId="0">
      <text>
        <r>
          <rPr>
            <b/>
            <sz val="9"/>
            <color indexed="8"/>
            <rFont val="Tahoma"/>
            <family val="2"/>
          </rPr>
          <t xml:space="preserve">FILTRO:
</t>
        </r>
        <r>
          <rPr>
            <sz val="9"/>
            <color indexed="8"/>
            <rFont val="Tahoma"/>
            <family val="2"/>
          </rPr>
          <t>Após a conclusão do Orçamento, utilize o filtro nessa coluna com o valor "F" para ocultar linhas não utilizadas.</t>
        </r>
      </text>
    </comment>
    <comment ref="Y8" authorId="0" shapeId="0">
      <text>
        <r>
          <rPr>
            <b/>
            <sz val="9"/>
            <color indexed="8"/>
            <rFont val="Tahoma"/>
            <family val="2"/>
          </rPr>
          <t xml:space="preserve">RECURSO:
</t>
        </r>
        <r>
          <rPr>
            <sz val="9"/>
            <color indexed="8"/>
            <rFont val="Tahoma"/>
            <family val="2"/>
          </rPr>
          <t>Selecione a composição do item do Orçamento no Investimento.
RA: Rateio proporcional entre Repasse e Contrapartida.
RP: 100% valor de Repasse.
CP: 100%  valor de Contrapartida.
OU: 100% valor "Outros".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J7" authorId="0" shapeId="0">
      <text>
        <r>
          <rPr>
            <b/>
            <sz val="9"/>
            <color indexed="8"/>
            <rFont val="Tahoma"/>
            <family val="2"/>
          </rPr>
          <t xml:space="preserve">QUANTIDADES:
</t>
        </r>
        <r>
          <rPr>
            <sz val="9"/>
            <color indexed="8"/>
            <rFont val="Tahoma"/>
            <family val="2"/>
          </rPr>
          <t>PREENCHA AS QUANTIDADES AQUI PARA ACOMPANHAMENTOS POR BM.</t>
        </r>
      </text>
    </comment>
    <comment ref="AL7" authorId="0" shapeId="0">
      <text>
        <r>
          <rPr>
            <b/>
            <sz val="9"/>
            <color indexed="8"/>
            <rFont val="Tahoma"/>
            <family val="2"/>
          </rPr>
          <t xml:space="preserve">PREÇO UNITÁRIO LICITADO:
</t>
        </r>
        <r>
          <rPr>
            <sz val="9"/>
            <color indexed="8"/>
            <rFont val="Tahoma"/>
            <family val="2"/>
          </rPr>
          <t>PREENCHA AQUI O PREÇO UNITÁRIO DA LICITAÇÃO.</t>
        </r>
      </text>
    </comment>
    <comment ref="L8" authorId="0" shapeId="0">
      <text>
        <r>
          <rPr>
            <b/>
            <sz val="9"/>
            <color indexed="8"/>
            <rFont val="Tahoma"/>
            <family val="2"/>
          </rPr>
          <t xml:space="preserve">FILTRO:
</t>
        </r>
        <r>
          <rPr>
            <sz val="9"/>
            <color indexed="8"/>
            <rFont val="Tahoma"/>
            <family val="2"/>
          </rPr>
          <t>Após a conclusão do Orçamento, utilize o filtro nessa coluna com o valor "F" para ocultar linhas não utilizadas.</t>
        </r>
      </text>
    </comment>
    <comment ref="Y8" authorId="0" shapeId="0">
      <text>
        <r>
          <rPr>
            <b/>
            <sz val="9"/>
            <color indexed="8"/>
            <rFont val="Tahoma"/>
            <family val="2"/>
          </rPr>
          <t xml:space="preserve">RECURSO:
</t>
        </r>
        <r>
          <rPr>
            <sz val="9"/>
            <color indexed="8"/>
            <rFont val="Tahoma"/>
            <family val="2"/>
          </rPr>
          <t>Selecione a composição do item do Orçamento no Investimento.
RA: Rateio proporcional entre Repasse e Contrapartida.
RP: 100% valor de Repasse.
CP: 100%  valor de Contrapartida.
OU: 100% valor "Outros".</t>
        </r>
      </text>
    </comment>
  </commentList>
</comments>
</file>

<file path=xl/sharedStrings.xml><?xml version="1.0" encoding="utf-8"?>
<sst xmlns="http://schemas.openxmlformats.org/spreadsheetml/2006/main" count="1907" uniqueCount="268">
  <si>
    <t>PO - PLANILHA ORÇAMENTÁRIA</t>
  </si>
  <si>
    <t>Grau de Sigilo</t>
  </si>
  <si>
    <t>LOTE</t>
  </si>
  <si>
    <t>Meta</t>
  </si>
  <si>
    <t>Nível 2</t>
  </si>
  <si>
    <t>Nível 3</t>
  </si>
  <si>
    <t>Nível 4</t>
  </si>
  <si>
    <t>Serviço</t>
  </si>
  <si>
    <t>#PUBLICO</t>
  </si>
  <si>
    <t>Nmax</t>
  </si>
  <si>
    <t>BDI 1</t>
  </si>
  <si>
    <t>BDI 2</t>
  </si>
  <si>
    <t>BDI 3</t>
  </si>
  <si>
    <t>Nº OPERAÇÃO</t>
  </si>
  <si>
    <t>Nº SICONV</t>
  </si>
  <si>
    <t>PROPONENTE / TOMADOR</t>
  </si>
  <si>
    <t>APELIDO DO EMPREENDIMENTO</t>
  </si>
  <si>
    <t>Arredondamento</t>
  </si>
  <si>
    <t>LOCALIDADE SINAPI</t>
  </si>
  <si>
    <t>DATA BASE</t>
  </si>
  <si>
    <t>Quantidade</t>
  </si>
  <si>
    <t>QUANTIDADES: ACOMP. POR BM</t>
  </si>
  <si>
    <t>PREÇO UNITÁRIO LICITADO</t>
  </si>
  <si>
    <t>FILTRO</t>
  </si>
  <si>
    <t>RECURSO</t>
  </si>
  <si>
    <t>SGL RECURSO</t>
  </si>
  <si>
    <t>Custo Unitáro</t>
  </si>
  <si>
    <t>BDI</t>
  </si>
  <si>
    <t>ERRO GERAL</t>
  </si>
  <si>
    <t>Preço Unitário</t>
  </si>
  <si>
    <t>Preço Total</t>
  </si>
  <si>
    <t>Valores não Arredondados</t>
  </si>
  <si>
    <t>↓</t>
  </si>
  <si>
    <t>Nível E</t>
  </si>
  <si>
    <t>Save Nivel</t>
  </si>
  <si>
    <t>Nível C</t>
  </si>
  <si>
    <t>Altura</t>
  </si>
  <si>
    <t>n1</t>
  </si>
  <si>
    <t>n2</t>
  </si>
  <si>
    <t>n3</t>
  </si>
  <si>
    <t>n4</t>
  </si>
  <si>
    <t>n5</t>
  </si>
  <si>
    <t>Czero</t>
  </si>
  <si>
    <t>Cnível</t>
  </si>
  <si>
    <t>Nível</t>
  </si>
  <si>
    <t>Nível Corrigido</t>
  </si>
  <si>
    <t>Item</t>
  </si>
  <si>
    <t>Fonte</t>
  </si>
  <si>
    <t>Código</t>
  </si>
  <si>
    <t>Descrição</t>
  </si>
  <si>
    <t>Unidade</t>
  </si>
  <si>
    <t>Preço Unitário (com BDI) (R$)</t>
  </si>
  <si>
    <t>Preço Total
(R$)</t>
  </si>
  <si>
    <t>Contrapartida (R$)</t>
  </si>
  <si>
    <t>Outros (R$)</t>
  </si>
  <si>
    <t>Erro de Dados</t>
  </si>
  <si>
    <t>Lista Crono</t>
  </si>
  <si>
    <t>Concatenação Fonte-Código</t>
  </si>
  <si>
    <t>BancoDesloc</t>
  </si>
  <si>
    <t>Custo Unitário Referência (R$)</t>
  </si>
  <si>
    <t>Preço Total
Licit. (R$)</t>
  </si>
  <si>
    <t>Preço Unitário Edital (R$)</t>
  </si>
  <si>
    <t>SINAPI</t>
  </si>
  <si>
    <t>RA</t>
  </si>
  <si>
    <t>L</t>
  </si>
  <si>
    <t>F</t>
  </si>
  <si>
    <t>REFORMA E AMPLIAÇÃO GINASIO DE ESPORTES</t>
  </si>
  <si>
    <t>-</t>
  </si>
  <si>
    <t>REFORMA EXISTENTE</t>
  </si>
  <si>
    <t>SERVIÇOS PRELIMINARES</t>
  </si>
  <si>
    <t>SINAPI-I</t>
  </si>
  <si>
    <t>PLACA DE OBRA (PARA CONSTRUCAO CIVIL) EM CHAPA GALVANIZADA *N. 22*, ADESIVADA, DE *2,4 X 1,2* M (SEM POSTES PARA FIXACAO)</t>
  </si>
  <si>
    <t xml:space="preserve">M2    </t>
  </si>
  <si>
    <t>93208</t>
  </si>
  <si>
    <t>EXECUÇÃO DE ALMOXARIFADO EM CANTEIRO DE OBRA EM CHAPA DE MADEIRA COMPENSADA, INCLUSO PRATELEIRAS. AF_02/2016</t>
  </si>
  <si>
    <t>M2</t>
  </si>
  <si>
    <t>97622</t>
  </si>
  <si>
    <t>DEMOLIÇÃO DE ALVENARIA DE BLOCO FURADO, DE FORMA MANUAL, SEM REAPROVEITAMENTO. AF_12/2017</t>
  </si>
  <si>
    <t>M3</t>
  </si>
  <si>
    <t>97628</t>
  </si>
  <si>
    <t>DEMOLIÇÃO DE LAJES, DE FORMA MANUAL, SEM REAPROVEITAMENTO. AF_12/2017</t>
  </si>
  <si>
    <t>97644</t>
  </si>
  <si>
    <t>REMOÇÃO DE PORTAS, DE FORMA MANUAL, SEM REAPROVEITAMENTO. AF_12/2017</t>
  </si>
  <si>
    <t>97663</t>
  </si>
  <si>
    <t>REMOÇÃO DE LOUÇAS, DE FORMA MANUAL, SEM REAPROVEITAMENTO. AF_12/2017</t>
  </si>
  <si>
    <t>UN</t>
  </si>
  <si>
    <t>100981</t>
  </si>
  <si>
    <t>CARGA, MANOBRA E DESCARGA DE ENTULHO EM CAMINHÃO BASCULANTE 6 M³ - CARGA COM ESCAVADEIRA HIDRÁULICA  (CAÇAMBA DE 0,80 M³ / 111 HP) E DESCARGA LIVRE (UNIDADE: M3). AF_07/2020</t>
  </si>
  <si>
    <t>97914</t>
  </si>
  <si>
    <t>TRANSPORTE COM CAMINHÃO BASCULANTE DE 6 M³, EM VIA URBANA PAVIMENTADA, DMT ATÉ 30 KM (UNIDADE: M3XKM). AF_07/2020</t>
  </si>
  <si>
    <t>M3XKM</t>
  </si>
  <si>
    <t xml:space="preserve">PISO MODULAR QUADRA </t>
  </si>
  <si>
    <t>87620</t>
  </si>
  <si>
    <t>CONTRAPISO EM ARGAMASSA TRAÇO 1:4 (CIMENTO E AREIA), PREPARO MECÂNICO COM BETONEIRA 400 L, APLICADO EM ÁREAS SECAS SOBRE LAJE, ADERIDO, ACABAMENTO NÃO REFORÇADO, ESPESSURA 2CM. AF_07/2021</t>
  </si>
  <si>
    <t xml:space="preserve">COTAÇÃO </t>
  </si>
  <si>
    <t xml:space="preserve">PISO MODULAR PLASTPORT INDOOR </t>
  </si>
  <si>
    <t xml:space="preserve">UND </t>
  </si>
  <si>
    <t xml:space="preserve">AVENARIA </t>
  </si>
  <si>
    <t>103319</t>
  </si>
  <si>
    <t>ALVENARIA DE VEDAÇÃO DE BLOCOS VAZADOS DE CONCRETO DE 14X19X39 CM (ESPESSURA 14 CM) E ARGAMASSA DE ASSENTAMENTO COM PREPARO MANUAL. AF_12/2021</t>
  </si>
  <si>
    <t xml:space="preserve">REVESTIMENTO </t>
  </si>
  <si>
    <t>CHAPISCO APLICADO EM ALVENARIAS E ESTRUTURAS DE CONCRETO INTERNAS, COM COLHER DE PEDREIRO.  ARGAMASSA TRAÇO 1:3 COM PREPARO MANUAL.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</si>
  <si>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</si>
  <si>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ELEMENTOS DIVERSOS</t>
  </si>
  <si>
    <t>CONJUNTO PARA FUTSAL COM TRAVES OFICIAIS DE 3,00 X 2,00 M EM TUBO DE ACO GALVANIZADO 3" COM REQUADRO EM TUBO DE 1", PINTURA EM PRIMER COM TINTA ESMALTE SINTETICO E REDES DE POLIETILENO FIO 4 MM</t>
  </si>
  <si>
    <t xml:space="preserve">UN    </t>
  </si>
  <si>
    <t>deinfra 43870</t>
  </si>
  <si>
    <t xml:space="preserve">REDE DE NYLON PARA PROTEÇÃO </t>
  </si>
  <si>
    <t>03</t>
  </si>
  <si>
    <t>Assento com encosto, em polipropileno  fixação diretamente na superfície, através de 03 fixadores, dimensões 44x45x34</t>
  </si>
  <si>
    <t xml:space="preserve">ESQUADRIAS </t>
  </si>
  <si>
    <t>PORTA EM ALUMÍNIO DE ABRIR TIPO VENEZIANA COM GUARNIÇÃO, FIXAÇÃO COM PARAFUSOS - FORNECIMENTO E INSTALAÇÃO. AF_12/2019</t>
  </si>
  <si>
    <t>PINTURA</t>
  </si>
  <si>
    <t>88489</t>
  </si>
  <si>
    <t>APLICAÇÃO MANUAL DE PINTURA COM TINTA LÁTEX ACRÍLICA EM PAREDES, DUAS DEMÃOS. AF_06/2014</t>
  </si>
  <si>
    <t>102491</t>
  </si>
  <si>
    <t>PINTURA DE PISO COM TINTA ACRÍLICA, APLICAÇÃO MANUAL, 2 DEMÃOS, INCLUSO FUNDO PREPARADOR. AF_05/2021</t>
  </si>
  <si>
    <t>100733</t>
  </si>
  <si>
    <t>PINTURA COM TINTA ACRÍLICA DE FUNDO PULVERIZADA SOBRE SUPERFÍCIES METÁLICAS (EXCETO PERFIL) EXECUTADO EM OBRA (POR DEMÃO). AF_01/2020_P</t>
  </si>
  <si>
    <t xml:space="preserve">AMPLIAÇÃO LATERAL </t>
  </si>
  <si>
    <t>FUNDAÇÃO</t>
  </si>
  <si>
    <t>93358</t>
  </si>
  <si>
    <t>ESCAVAÇÃO MANUAL DE VALA COM PROFUNDIDADE MENOR OU IGUAL A 1,30 M. AF_02/2021</t>
  </si>
  <si>
    <t>96995</t>
  </si>
  <si>
    <t>REATERRO MANUAL APILOADO COM SOQUETE. AF_10/2017</t>
  </si>
  <si>
    <t>96535</t>
  </si>
  <si>
    <t>FABRICAÇÃO, MONTAGEM E DESMONTAGEM DE FÔRMA PARA SAPATA, EM MADEIRA SERRADA, E=25 MM, 4 UTILIZAÇÕES. AF_06/2017</t>
  </si>
  <si>
    <t>102479</t>
  </si>
  <si>
    <t>CONCRETO MAGRO PARA LASTRO, TRAÇO 1:4,5:4,5 (EM MASSA SECA DE CIMENTO/ AREIA MÉDIA/ SEIXO ROLADO) - PREPARO MECÂNICO COM BETONEIRA 600 L. AF_05/2021</t>
  </si>
  <si>
    <t>96543</t>
  </si>
  <si>
    <t>ARMAÇÃO DE BLOCO, VIGA BALDRAME E SAPATA UTILIZANDO AÇO CA-60 DE 5 MM - MONTAGEM. AF_06/2017</t>
  </si>
  <si>
    <t>KG</t>
  </si>
  <si>
    <t>96545</t>
  </si>
  <si>
    <t>ARMAÇÃO DE BLOCO, VIGA BALDRAME OU SAPATA UTILIZANDO AÇO CA-50 DE 8 MM - MONTAGEM. AF_06/2017</t>
  </si>
  <si>
    <t>96546</t>
  </si>
  <si>
    <t>ARMAÇÃO DE BLOCO, VIGA BALDRAME OU SAPATA UTILIZANDO AÇO CA-50 DE 10 MM - MONTAGEM. AF_06/2017</t>
  </si>
  <si>
    <t>94971</t>
  </si>
  <si>
    <t>CONCRETO FCK = 25MPA, TRAÇO 1:2,3:2,7 (EM MASSA SECA DE CIMENTO/ AREIA MÉDIA/ BRITA 1) - PREPARO MECÂNICO COM BETONEIRA 600 L. AF_05/2021</t>
  </si>
  <si>
    <t>ESTRUTURA PRÉ-MOLDADA E COBERTURA EM ESTRUTURA METÁLICA</t>
  </si>
  <si>
    <t xml:space="preserve">FABRICAÇÃO , FORNECIMENTO E EXECUÇÃO DE ESTRUTURA EM PRÉ-MOLDADO INLUSO 7 PILARES  DE CONCRETO 0,23X0,31X4,50, 4 BASES CONCRETADAS PARA PILARES 23X31 CM, 04 TRELIÇAS METALICAS PARA O VÃO DE 12,71M SEM BEIRAL, 03 TRELIÇAS METÁLICAS PARA O VÃO NECESSARIO DE 13,61 M SEMBEIRAL, TERÇAMENTO METÁLICO PARA FIXAÇÃO DAS TELHAS, INSERTES PARA FIXAÇÃO DAS TERÇAS DE COBERTURA NAS PAREDES A SER CONSTRUIDA, 489,45 M2 DE COBERTURA EM TELHA MATÁLICA GALVALUME 043 MODELO TRAPEZIO TP25 NATURAL, MÃO DE OBRA  PARA MONTAGEM, SERVIÇOS DE MUNCK E DESLOCAMENTOS </t>
  </si>
  <si>
    <t xml:space="preserve">ALVENARIAS E FECHAMENTOS </t>
  </si>
  <si>
    <t>DIVISORIA SANITÁRIA, TIPO CABINE, EM GRANITO CINZA POLIDO, ESP = 3CM, ASSENTADO COM ARGAMASSA COLANTE AC III-E, EXCLUSIVE FERRAGENS. AF_01/2021</t>
  </si>
  <si>
    <t>SICRO</t>
  </si>
  <si>
    <t>AUX3040</t>
  </si>
  <si>
    <t>ELEMENTO VAZADO DE CONCRETO, VENEZIANA, DIMENSÕES *40X30X10* CM</t>
  </si>
  <si>
    <t>AUX2759</t>
  </si>
  <si>
    <t>PORTA DE ALUMÍNIO DE ABRIR PARA VIDRO SEM GUARNIÇÃO, FIXAÇÃO COM PARAFUSOS, INCLUSIVE VIDROS - FORNECIMENTO E INSTALAÇÃO</t>
  </si>
  <si>
    <t>JANELA DE ALUMÍNIO DE CORRER COM 2 FOLHAS PARA VIDROS, COM VIDROS, BATENTE, ACABAMENTO COM ACETATO OU BRILHANTE E FERRAGENS. EXCLUSIVE ALIZAR E CONTRAMARCO. FORNECIMENTO E INSTALAÇÃO. AF_12/2019</t>
  </si>
  <si>
    <t>102176</t>
  </si>
  <si>
    <t>INSTALAÇÃO DE VIDRO LAMINADO, E = 8 MM (4+4), ENCAIXADO EM PERFIL U. AF_01/2021_P</t>
  </si>
  <si>
    <t>ARQUIBANCADAS</t>
  </si>
  <si>
    <t>96536</t>
  </si>
  <si>
    <t>FABRICAÇÃO, MONTAGEM E DESMONTAGEM DE FÔRMA PARA VIGA BALDRAME, EM MADEIRA SERRADA, E=25 MM, 4 UTILIZAÇÕES. AF_06/2017</t>
  </si>
  <si>
    <t>ATERRO E COMPACTAÇÃO</t>
  </si>
  <si>
    <t xml:space="preserve">FECHAMENTO </t>
  </si>
  <si>
    <t>102364</t>
  </si>
  <si>
    <t>ALAMBRADO PARA QUADRA POLIESPORTIVA, ESTRUTURADO POR TUBOS DE ACO GALVANIZADO, (MONTANTES COM DIAMETRO 2", TRAVESSAS E ESCORAS COM DIÂMETRO 1 ¼), COM TELA DE ARAME GALVANIZADO, FIO 10 BWG E MALHA QUADRADA 5X5CM (EXCETO MURETA). AF_03/2021</t>
  </si>
  <si>
    <t xml:space="preserve">PISO </t>
  </si>
  <si>
    <t>100324</t>
  </si>
  <si>
    <t>LASTRO COM MATERIAL GRANULAR (PEDRA BRITADA N.1 E PEDRA BRITADA N.2), APLICADO EM PISOS OU LAJES SOBRE SOLO, ESPESSURA DE *10 CM*. AF_07/2019</t>
  </si>
  <si>
    <t>INSTALAÇÕES ELETRICAS</t>
  </si>
  <si>
    <t>QUADRO DE DISTRIBUIÇÃO DE ENERGIA EM CHAPA DE AÇO GALVANIZADO, DE EMBUTIR, COM BARRAMENTO TRIFÁSICO, PARA 24 DISJUNTORES DIN 100A - FORNECIMENTO E INSTALAÇÃO. AF_10/2020</t>
  </si>
  <si>
    <t>DISJUNTOR MONOPOLAR TIPO DIN, CORRENTE NOMINAL DE 10A - FORNECIMENTO E INSTALAÇÃO. AF_10/2020</t>
  </si>
  <si>
    <t>93654</t>
  </si>
  <si>
    <t>DISJUNTOR MONOPOLAR TIPO DIN, CORRENTE NOMINAL DE 16A - FORNECIMENTO E INSTALAÇÃO. AF_10/2020</t>
  </si>
  <si>
    <t>DISJUNTOR TRIPOLAR TIPO NEMA, CORRENTE NOMINAL DE 60 ATÉ 100A - FORNECIMENTO E INSTALAÇÃO. AF_10/2020</t>
  </si>
  <si>
    <t>ELETRODUTO FLEXÍVEL CORRUGADO, PVC, DN 32 MM (1"), PARA CIRCUITOS TERMINAIS, INSTALADO EM FORRO - FORNECIMENTO E INSTALAÇÃO. AF_12/2015</t>
  </si>
  <si>
    <t>M</t>
  </si>
  <si>
    <t>CABO DE COBRE FLEXÍVEL ISOLADO, 4 MM², ANTI-CHAMA 0,6/1,0 KV, PARA CIRCUITOS TERMINAIS - FORNECIMENTO E INSTALAÇÃO. AF_12/2015</t>
  </si>
  <si>
    <t>CABO DE COBRE FLEXÍVEL ISOLADO, 10 MM², ANTI-CHAMA 0,6/1,0 KV, PARA CIRCUITOS TERMINAIS - FORNECIMENTO E INSTALAÇÃO. AF_12/2015</t>
  </si>
  <si>
    <t>INTERRUPTOR SIMPLES (1 MÓDULO), 10A/250V, INCLUINDO SUPORTE E PLACA - FORNECIMENTO E INSTALAÇÃO. AF_12/2015</t>
  </si>
  <si>
    <t>TOMADA ALTA DE EMBUTIR (1 MÓDULO), 2P+T 10 A, INCLUINDO SUPORTE E PLACA - FORNECIMENTO E INSTALAÇÃO. AF_12/2015</t>
  </si>
  <si>
    <t>TOMADA MÉDIA DE EMBUTIR (1 MÓDULO), 2P+T 20 A, INCLUINDO SUPORTE E PLACA - FORNECIMENTO E INSTALAÇÃO. AF_12/2015</t>
  </si>
  <si>
    <t>TOMADA BAIXA DE EMBUTIR (1 MÓDULO), 2P+T 10 A, INCLUINDO SUPORTE E PLACA - FORNECIMENTO E INSTALAÇÃO. AF_12/2015</t>
  </si>
  <si>
    <t>AUX2768</t>
  </si>
  <si>
    <t>REFLETOR SIMPLES LED 100W DE POTÊNCIA, BRANCO FRIO, 6500K, BIVOLT</t>
  </si>
  <si>
    <t>AUX2877</t>
  </si>
  <si>
    <t xml:space="preserve">REFLETOR LED 200 W  DE POTÊNCIA, BRANCO FRIO, 6500K, AUTOVOLT, MARCA G-LIGHT OU SIMILAR </t>
  </si>
  <si>
    <t xml:space="preserve">UN </t>
  </si>
  <si>
    <t>LUMINARIA SPOT DE SOBREPOR EM ALUMINIO COM ALETA PLASTICA PARA 2 LAMPADAS, BASE E27, POTENCIA MAXIMA 40/60 W (NAO INCLUI LAMPADA)</t>
  </si>
  <si>
    <t xml:space="preserve">LOUÇAS ACESSORIOS E METAIS </t>
  </si>
  <si>
    <t>VASO SANITÁRIO SIFONADO COM CAIXA ACOPLADA LOUÇA BRANCA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</si>
  <si>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</si>
  <si>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MICTORIO INDICUDUAL, SIFONADO, LOUCA BRANCA, SEM COMPLEMENTOS</t>
  </si>
  <si>
    <t>CUBA DE EMBUTIR OVAL EM LOUÇA BRANCA, 35 X 50CM OU EQUIVALENTE - FORNECIMENTO E INSTALAÇÃO. AF_01/2020</t>
  </si>
  <si>
    <t>AUX1456</t>
  </si>
  <si>
    <t>BANCADA EM GRANITO CINZA POLIDO E=2 CM</t>
  </si>
  <si>
    <t>TORNEIRA CROMADA DE MESA, 1/2 OU 3/4, PARA LAVATÓRIO, PADRÃO POPULAR - FORNECIMENTO E INSTALAÇÃO. AF_01/2020</t>
  </si>
  <si>
    <t>LAVATÓRIO LOUÇA BRANCA SUSPENSO, 29,5 X 39CM OU EQUIVALENTE, PADRÃO POPULAR - FORNECIMENTO E INSTALAÇÃO. AF_01/2020</t>
  </si>
  <si>
    <t>BARRA DE APOIO LATERAL ARTICULADA, COM TRAVA, EM ACO INOX POLIDO, FIXADA NA PAREDE - FORNECIMENTO E INSTALAÇÃO. AF_01/2020</t>
  </si>
  <si>
    <t>BARRA DE APOIO RETA, EM ACO INOX POLIDO, COMPRIMENTO 70 CM,  FIXADA NA PAREDE - FORNECIMENTO E INSTALAÇÃO. AF_01/2020</t>
  </si>
  <si>
    <t>BARRA DE APOIO RETA, EM ACO INOX POLIDO, COMPRIMENTO 80 CM,  FIXADA NA PAREDE - FORNECIMENTO E INSTALAÇÃO. AF_01/2020</t>
  </si>
  <si>
    <t>SABONETEIRA PLASTICA TIPO DISPENSER PARA SABONETE LIQUIDO COM RESERVATORIO 800 A 1500 ML, INCLUSO FIXAÇÃO. AF_01/2020</t>
  </si>
  <si>
    <t>PAPELEIRA DE PAREDE EM METAL CROMADO SEM TAMPA, INCLUSO FIXAÇÃO. AF_01/2020</t>
  </si>
  <si>
    <t>ESPELHO CRISTAL E = 4 MM</t>
  </si>
  <si>
    <t>INSTALAÇÕES HIDROSANITÁRIAS</t>
  </si>
  <si>
    <t>CAIXA D´ÁGUA EM POLIETILENO, 500 LITROS (INCLUSOS TUBOS, CONEXÕES E TORNEIRA DE BÓIA) - FORNECIMENTO E INSTALAÇÃO. AF_06/2021</t>
  </si>
  <si>
    <t>89449</t>
  </si>
  <si>
    <t>TUBO, PVC, SOLDÁVEL, DN 50MM, INSTALADO EM PRUMADA DE ÁGUA - FORNECIMENTO E INSTALAÇÃO. AF_06/2022</t>
  </si>
  <si>
    <t>TUBO, PVC, SOLDÁVEL, DN 25MM, INSTALADO EM RAMAL OU SUB-RAMAL DE ÁGUA - FORNECIMENTO E INSTALAÇÃO. AF_06/2022</t>
  </si>
  <si>
    <t>JOELHO 90 GRAUS COM BUCHA DE LATÃO, PVC, SOLDÁVEL, DN 25MM, X 1/2  INSTALADO EM RAMAL OU SUB-RAMAL DE ÁGUA - FORNECIMENTO E INSTALAÇÃO. AF_06/2022</t>
  </si>
  <si>
    <t>TÊ DE REDUÇÃO, PVC, SOLDÁVEL, DN 50MM X 25MM, INSTALADO EM PRUMADA DE ÁGUA - FORNECIMENTO E INSTALAÇÃO. AF_06/2022</t>
  </si>
  <si>
    <t>TE, PVC, SOLDÁVEL, DN 50MM, INSTALADO EM PRUMADA DE ÁGUA - FORNECIMENTO E INSTALAÇÃO. AF_06/2022</t>
  </si>
  <si>
    <t>TE, PVC, SOLDÁVEL, DN 25MM, INSTALADO EM PRUMADA DE ÁGUA - FORNECIMENTO E INSTALAÇÃO. AF_06/2022</t>
  </si>
  <si>
    <t>JOELHO 90 GRAUS, PVC, SOLDÁVEL, DN 25MM, INSTALADO EM RAMAL OU SUB-RAMAL DE ÁGUA - FORNECIMENTO E INSTALAÇÃO. AF_06/2022</t>
  </si>
  <si>
    <t>LUVA DE CORRER, PVC, SOLDÁVEL, DN 25MM, INSTALADO EM RAMAL DE DISTRIBUIÇÃO DE ÁGUA - FORNECIMENTO E INSTALAÇÃO. AF_06/2022</t>
  </si>
  <si>
    <t>REGISTRO DE GAVETA BRUTO, LATÃO, ROSCÁVEL, 3/4" - FORNECIMENTO E INSTALAÇÃO. AF_08/2021</t>
  </si>
  <si>
    <t>REGISTRO DE PRESSÃO BRUTO, LATÃO, ROSCÁVEL, 3/4", COM ACABAMENTO E CANOPLA CROMADOS - FORNECIMENTO E INSTALAÇÃO. AF_08/2021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</si>
  <si>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</si>
  <si>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</si>
  <si>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>89482</t>
  </si>
  <si>
    <t>CAIXA SIFONADA, PVC, DN 100 X 100 X 50 MM, FORNECIDA E INSTALADA EM RAMAIS DE ENCAMINHAMENTO DE ÁGUA PLUVIAL. AF_06/2022</t>
  </si>
  <si>
    <t>TANQUE SÉPTICO CIRCULAR, EM CONCRETO PRÉ-MOLDADO, DIÂMETRO INTERNO = 1,10 M, ALTURA INTERNA = 2,50 M, VOLUME ÚTIL: 2138,2 L (PARA 5 CONTRIBUINTES). AF_12/2020</t>
  </si>
  <si>
    <t>SUMIDOURO RETANGULAR, EM ALVENARIA COM TIJOLOS CERÂMICOS MACIÇOS, DIMENSÕES INTERNAS: 0,8 X 1,4 X 3,0 M, ÁREA DE INFILTRAÇÃO: 13,2 M² (PARA 5 CONTRIBUINTES). AF_12/2020</t>
  </si>
  <si>
    <t>PISO</t>
  </si>
  <si>
    <t>AUX0200</t>
  </si>
  <si>
    <t>POLIMENTO DE PISOS</t>
  </si>
  <si>
    <t>FACHADA EM ACM</t>
  </si>
  <si>
    <t xml:space="preserve">ESTRUTURA METÁLICA GALVANIZADA NO PERFIL 30X30 #1,25 E TRELIÇAS 100MMX40MMX2MM COM JUNÇÃO SOLIDA MIG / REVESTIMENTO EM ACM 3MM, PINTURA POILIESTER 5 ANOS / SISTEMADE FIXAÇÃO COM FITA DUPLA FACE VHB/ TRATAMENTO DAS JUNTAS COM PU / FORRO EM ACM 3MM AMARELO + ILUMINAÇÃO POR PLAFON DE LED DE SOBREPOR / LETREIROS EM CHAPA GALVANIZADA, ACABAMENTO EM PINURA P.U AUTOMOTIVA </t>
  </si>
  <si>
    <t>94213</t>
  </si>
  <si>
    <t>TELHAMENTO COM TELHA DE AÇO/ALUMÍNIO E = 0,5 MM, COM ATÉ 2 ÁGUAS, INCLUSO IÇAMENTO. AF_07/2019</t>
  </si>
  <si>
    <t>94227</t>
  </si>
  <si>
    <t>CALHA EM CHAPA DE AÇO GALVANIZADO NÚMERO 24, DESENVOLVIMENTO DE 33 CM, INCLUSO TRANSPORTE VERTICAL. AF_07/2019</t>
  </si>
  <si>
    <t>Encargos sociais:</t>
  </si>
  <si>
    <t>Para elaboração deste orçamento, foram utilizados os encargos sociais do SINAPI para a Unidade da Federação indicada.</t>
  </si>
  <si>
    <t>Observações: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</si>
  <si>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</si>
  <si>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</si>
  <si>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</si>
  <si>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</si>
  <si>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CREA/CAU:</t>
  </si>
  <si>
    <t>Data</t>
  </si>
  <si>
    <t>ART/RRT:</t>
  </si>
  <si>
    <t>1.</t>
  </si>
  <si>
    <t>Valor (R$)</t>
  </si>
  <si>
    <t>Parcelas:</t>
  </si>
  <si>
    <t>% Período:</t>
  </si>
  <si>
    <t>1.1.</t>
  </si>
  <si>
    <t>1.1.1.</t>
  </si>
  <si>
    <t>1.1.2.</t>
  </si>
  <si>
    <t>1.1.3.</t>
  </si>
  <si>
    <t>1.1.4.</t>
  </si>
  <si>
    <t>1.1.5.</t>
  </si>
  <si>
    <t>1.1.6.</t>
  </si>
  <si>
    <t>1.1.7.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</si>
  <si>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</si>
  <si>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</si>
  <si>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</si>
  <si>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</si>
  <si>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</si>
  <si>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</si>
  <si>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</si>
  <si>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</si>
  <si>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Total:    R$ 920.939,11</t>
  </si>
  <si>
    <t>Período:</t>
  </si>
  <si>
    <t>Acumulado:</t>
  </si>
  <si>
    <t>%:</t>
  </si>
  <si>
    <t>Repasse:</t>
  </si>
  <si>
    <t>Contrapartida:</t>
  </si>
  <si>
    <t>Outros:</t>
  </si>
  <si>
    <t>Investimento:</t>
  </si>
  <si>
    <t>1.2.8.</t>
  </si>
  <si>
    <t>1.2.9.</t>
  </si>
  <si>
    <t>1.2.10.</t>
  </si>
  <si>
    <t>1.2.11.</t>
  </si>
  <si>
    <t>1.2.12.</t>
  </si>
  <si>
    <t xml:space="preserve">REFORMA E AMPLIAÇÃO GINASIO </t>
  </si>
  <si>
    <t>CRONOGRAMA FÍSICO FINANCEIRO - MODELO PARA LICITAÇÃO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</si>
</sst>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m\-yy;@"/>
    <numFmt numFmtId="165" formatCode="_(* #,##0.00_);_(* \(#,##0.00\);_(* \-??_);_(@_)"/>
    <numFmt numFmtId="166" formatCode="General;General"/>
    <numFmt numFmtId="167" formatCode="[$-F800]dddd\,\ mmmm\ dd\,\ yyyy"/>
  </numFmts>
  <fonts count="22" x14ac:knownFonts="1">
    <font>
      <sz val="10"/>
      <name val="Arial"/>
      <family val="2"/>
    </font>
    <font>
      <sz val="10"/>
      <name val="Arial"/>
      <family val="2"/>
    </font>
    <font>
      <sz val="14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name val="Calibri"/>
      <family val="2"/>
    </font>
    <font>
      <b/>
      <sz val="11"/>
      <color indexed="10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b/>
      <sz val="8"/>
      <color indexed="10"/>
      <name val="Calibri"/>
      <family val="2"/>
    </font>
    <font>
      <b/>
      <sz val="7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1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indexed="31"/>
        <bgColor indexed="42"/>
      </patternFill>
    </fill>
    <fill>
      <patternFill patternType="solid">
        <fgColor indexed="43"/>
        <bgColor indexed="26"/>
      </patternFill>
    </fill>
    <fill>
      <patternFill patternType="solid">
        <fgColor indexed="23"/>
        <bgColor indexed="55"/>
      </patternFill>
    </fill>
    <fill>
      <patternFill patternType="lightUp">
        <fgColor indexed="22"/>
      </patternFill>
    </fill>
    <fill>
      <patternFill patternType="lightUp"/>
    </fill>
    <fill>
      <patternFill patternType="lightUp">
        <bgColor indexed="42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  <xf numFmtId="0" fontId="7" fillId="0" borderId="0"/>
    <xf numFmtId="0" fontId="1" fillId="0" borderId="0"/>
  </cellStyleXfs>
  <cellXfs count="15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wrapText="1"/>
    </xf>
    <xf numFmtId="10" fontId="0" fillId="0" borderId="0" xfId="0" applyNumberFormat="1"/>
    <xf numFmtId="0" fontId="5" fillId="0" borderId="1" xfId="3" applyFont="1" applyBorder="1" applyAlignment="1">
      <alignment vertical="top"/>
    </xf>
    <xf numFmtId="0" fontId="5" fillId="0" borderId="0" xfId="3" applyFont="1" applyAlignment="1">
      <alignment horizontal="left" vertical="top"/>
    </xf>
    <xf numFmtId="0" fontId="0" fillId="0" borderId="2" xfId="4" applyFont="1" applyBorder="1" applyAlignment="1">
      <alignment vertical="top" wrapText="1"/>
    </xf>
    <xf numFmtId="0" fontId="0" fillId="0" borderId="3" xfId="4" applyFont="1" applyBorder="1" applyAlignment="1">
      <alignment vertical="top" wrapText="1"/>
    </xf>
    <xf numFmtId="0" fontId="0" fillId="0" borderId="0" xfId="4" applyFont="1" applyAlignment="1">
      <alignment horizontal="left" vertical="top" wrapText="1"/>
    </xf>
    <xf numFmtId="0" fontId="0" fillId="0" borderId="5" xfId="4" applyFont="1" applyBorder="1" applyAlignment="1">
      <alignment horizontal="left" vertical="top" wrapText="1"/>
    </xf>
    <xf numFmtId="0" fontId="0" fillId="0" borderId="5" xfId="4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4" xfId="0" applyBorder="1"/>
    <xf numFmtId="0" fontId="0" fillId="0" borderId="4" xfId="0" applyBorder="1" applyProtection="1">
      <protection locked="0"/>
    </xf>
    <xf numFmtId="0" fontId="5" fillId="0" borderId="0" xfId="3" applyFont="1" applyAlignment="1">
      <alignment horizontal="center" vertical="top"/>
    </xf>
    <xf numFmtId="0" fontId="5" fillId="0" borderId="1" xfId="3" applyFont="1" applyBorder="1" applyAlignment="1">
      <alignment horizontal="center" vertical="top"/>
    </xf>
    <xf numFmtId="164" fontId="0" fillId="0" borderId="2" xfId="4" applyNumberFormat="1" applyFont="1" applyBorder="1" applyAlignment="1">
      <alignment vertical="top" shrinkToFit="1"/>
    </xf>
    <xf numFmtId="0" fontId="0" fillId="0" borderId="8" xfId="4" applyFont="1" applyBorder="1" applyAlignment="1">
      <alignment horizontal="center" vertical="top" wrapText="1"/>
    </xf>
    <xf numFmtId="0" fontId="0" fillId="0" borderId="2" xfId="4" applyFont="1" applyBorder="1" applyAlignment="1">
      <alignment horizontal="center" vertical="top" wrapText="1"/>
    </xf>
    <xf numFmtId="10" fontId="0" fillId="0" borderId="0" xfId="0" applyNumberFormat="1" applyAlignment="1">
      <alignment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0" xfId="0" applyFont="1"/>
    <xf numFmtId="0" fontId="8" fillId="0" borderId="2" xfId="0" applyFont="1" applyBorder="1" applyAlignment="1">
      <alignment horizontal="center"/>
    </xf>
    <xf numFmtId="1" fontId="13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 shrinkToFit="1"/>
    </xf>
    <xf numFmtId="49" fontId="0" fillId="3" borderId="17" xfId="0" applyNumberFormat="1" applyFill="1" applyBorder="1" applyAlignment="1" applyProtection="1">
      <alignment horizontal="center" vertical="center" wrapText="1"/>
      <protection locked="0"/>
    </xf>
    <xf numFmtId="49" fontId="0" fillId="4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17" xfId="0" applyFill="1" applyBorder="1" applyAlignment="1" applyProtection="1">
      <alignment horizontal="left" vertical="center" wrapText="1"/>
      <protection locked="0"/>
    </xf>
    <xf numFmtId="0" fontId="0" fillId="4" borderId="17" xfId="0" applyFill="1" applyBorder="1" applyAlignment="1" applyProtection="1">
      <alignment horizontal="center" vertical="center" wrapText="1"/>
      <protection locked="0"/>
    </xf>
    <xf numFmtId="165" fontId="0" fillId="0" borderId="17" xfId="1" applyFont="1" applyFill="1" applyBorder="1" applyAlignment="1" applyProtection="1">
      <alignment vertical="center" shrinkToFit="1"/>
    </xf>
    <xf numFmtId="165" fontId="0" fillId="4" borderId="17" xfId="1" applyFont="1" applyFill="1" applyBorder="1" applyAlignment="1" applyProtection="1">
      <alignment vertical="center" wrapText="1"/>
      <protection locked="0"/>
    </xf>
    <xf numFmtId="10" fontId="0" fillId="3" borderId="17" xfId="2" applyNumberFormat="1" applyFont="1" applyFill="1" applyBorder="1" applyAlignment="1" applyProtection="1">
      <alignment horizontal="center" vertical="center" wrapText="1"/>
      <protection locked="0"/>
    </xf>
    <xf numFmtId="165" fontId="0" fillId="0" borderId="18" xfId="1" applyFont="1" applyFill="1" applyBorder="1" applyAlignment="1" applyProtection="1">
      <alignment horizontal="center" vertical="center" shrinkToFit="1"/>
    </xf>
    <xf numFmtId="10" fontId="9" fillId="3" borderId="19" xfId="2" applyNumberFormat="1" applyFont="1" applyFill="1" applyBorder="1" applyAlignment="1" applyProtection="1">
      <alignment horizontal="center" vertical="center"/>
      <protection locked="0"/>
    </xf>
    <xf numFmtId="0" fontId="0" fillId="0" borderId="20" xfId="0" applyBorder="1"/>
    <xf numFmtId="0" fontId="0" fillId="0" borderId="21" xfId="0" applyBorder="1"/>
    <xf numFmtId="0" fontId="8" fillId="0" borderId="0" xfId="0" applyFont="1"/>
    <xf numFmtId="0" fontId="0" fillId="0" borderId="0" xfId="0" applyAlignment="1">
      <alignment horizontal="left"/>
    </xf>
    <xf numFmtId="165" fontId="0" fillId="0" borderId="16" xfId="1" applyFont="1" applyFill="1" applyBorder="1" applyAlignment="1" applyProtection="1">
      <alignment vertical="center" shrinkToFit="1"/>
    </xf>
    <xf numFmtId="10" fontId="0" fillId="0" borderId="18" xfId="1" applyNumberFormat="1" applyFont="1" applyFill="1" applyBorder="1" applyAlignment="1" applyProtection="1">
      <alignment vertical="center" shrinkToFit="1"/>
    </xf>
    <xf numFmtId="165" fontId="0" fillId="4" borderId="19" xfId="1" applyFont="1" applyFill="1" applyBorder="1" applyAlignment="1" applyProtection="1">
      <alignment vertical="center" wrapText="1"/>
      <protection locked="0"/>
    </xf>
    <xf numFmtId="165" fontId="0" fillId="4" borderId="16" xfId="1" applyFont="1" applyFill="1" applyBorder="1" applyAlignment="1" applyProtection="1">
      <alignment vertical="center" wrapText="1"/>
      <protection locked="0"/>
    </xf>
    <xf numFmtId="165" fontId="0" fillId="0" borderId="17" xfId="1" applyFont="1" applyFill="1" applyBorder="1" applyAlignment="1" applyProtection="1">
      <alignment horizontal="center" vertical="center" shrinkToFit="1"/>
    </xf>
    <xf numFmtId="165" fontId="0" fillId="0" borderId="18" xfId="1" applyFont="1" applyFill="1" applyBorder="1" applyAlignment="1" applyProtection="1">
      <alignment vertical="center" shrinkToFit="1"/>
    </xf>
    <xf numFmtId="0" fontId="5" fillId="5" borderId="4" xfId="0" applyFont="1" applyFill="1" applyBorder="1" applyAlignment="1">
      <alignment horizontal="center" vertical="center"/>
    </xf>
    <xf numFmtId="49" fontId="5" fillId="5" borderId="23" xfId="0" applyNumberFormat="1" applyFont="1" applyFill="1" applyBorder="1" applyAlignment="1">
      <alignment horizontal="center" vertical="center"/>
    </xf>
    <xf numFmtId="165" fontId="5" fillId="5" borderId="23" xfId="1" applyFont="1" applyFill="1" applyBorder="1" applyAlignment="1" applyProtection="1">
      <alignment horizontal="center" vertical="center"/>
    </xf>
    <xf numFmtId="10" fontId="5" fillId="5" borderId="23" xfId="2" applyNumberFormat="1" applyFont="1" applyFill="1" applyBorder="1" applyAlignment="1" applyProtection="1">
      <alignment horizontal="center" vertical="center"/>
    </xf>
    <xf numFmtId="165" fontId="5" fillId="5" borderId="24" xfId="1" applyFont="1" applyFill="1" applyBorder="1" applyAlignment="1" applyProtection="1">
      <alignment horizontal="center" vertical="center" shrinkToFit="1"/>
    </xf>
    <xf numFmtId="165" fontId="16" fillId="5" borderId="4" xfId="1" applyFont="1" applyFill="1" applyBorder="1" applyAlignment="1" applyProtection="1">
      <alignment horizontal="center" vertical="center" shrinkToFit="1"/>
    </xf>
    <xf numFmtId="165" fontId="16" fillId="5" borderId="24" xfId="1" applyFont="1" applyFill="1" applyBorder="1" applyAlignment="1" applyProtection="1">
      <alignment horizontal="center" vertical="center" shrinkToFit="1"/>
    </xf>
    <xf numFmtId="165" fontId="5" fillId="5" borderId="25" xfId="1" applyFont="1" applyFill="1" applyBorder="1" applyAlignment="1" applyProtection="1">
      <alignment horizontal="center" vertical="center"/>
    </xf>
    <xf numFmtId="10" fontId="5" fillId="5" borderId="26" xfId="1" applyNumberFormat="1" applyFont="1" applyFill="1" applyBorder="1" applyAlignment="1" applyProtection="1">
      <alignment horizontal="center" vertical="center"/>
    </xf>
    <xf numFmtId="10" fontId="5" fillId="5" borderId="2" xfId="1" applyNumberFormat="1" applyFont="1" applyFill="1" applyBorder="1" applyAlignment="1" applyProtection="1">
      <alignment horizontal="center" vertical="center"/>
    </xf>
    <xf numFmtId="10" fontId="5" fillId="5" borderId="25" xfId="1" applyNumberFormat="1" applyFont="1" applyFill="1" applyBorder="1" applyAlignment="1" applyProtection="1">
      <alignment horizontal="center" vertical="center"/>
    </xf>
    <xf numFmtId="165" fontId="5" fillId="5" borderId="27" xfId="1" applyFont="1" applyFill="1" applyBorder="1" applyAlignment="1" applyProtection="1">
      <alignment horizontal="center" vertical="center" shrinkToFit="1"/>
    </xf>
    <xf numFmtId="165" fontId="5" fillId="5" borderId="26" xfId="1" applyFont="1" applyFill="1" applyBorder="1" applyAlignment="1" applyProtection="1">
      <alignment horizontal="center" vertical="center"/>
    </xf>
    <xf numFmtId="0" fontId="0" fillId="6" borderId="22" xfId="0" applyFill="1" applyBorder="1"/>
    <xf numFmtId="0" fontId="0" fillId="6" borderId="24" xfId="0" applyFill="1" applyBorder="1"/>
    <xf numFmtId="0" fontId="0" fillId="6" borderId="23" xfId="0" applyFill="1" applyBorder="1"/>
    <xf numFmtId="0" fontId="0" fillId="7" borderId="22" xfId="0" applyFill="1" applyBorder="1"/>
    <xf numFmtId="0" fontId="0" fillId="7" borderId="24" xfId="0" applyFill="1" applyBorder="1"/>
    <xf numFmtId="0" fontId="0" fillId="8" borderId="4" xfId="0" applyFill="1" applyBorder="1"/>
    <xf numFmtId="0" fontId="0" fillId="7" borderId="23" xfId="0" applyFill="1" applyBorder="1"/>
    <xf numFmtId="0" fontId="17" fillId="0" borderId="0" xfId="0" applyFont="1"/>
    <xf numFmtId="0" fontId="17" fillId="0" borderId="6" xfId="0" applyFont="1" applyBorder="1" applyAlignment="1">
      <alignment horizontal="left" vertical="center"/>
    </xf>
    <xf numFmtId="0" fontId="0" fillId="0" borderId="10" xfId="0" applyBorder="1"/>
    <xf numFmtId="0" fontId="17" fillId="0" borderId="0" xfId="0" applyFont="1" applyAlignment="1">
      <alignment horizontal="left" wrapText="1"/>
    </xf>
    <xf numFmtId="0" fontId="17" fillId="0" borderId="0" xfId="0" applyFont="1" applyAlignment="1" applyProtection="1">
      <alignment horizontal="left" wrapText="1"/>
      <protection locked="0"/>
    </xf>
    <xf numFmtId="0" fontId="18" fillId="0" borderId="0" xfId="0" applyFont="1" applyAlignment="1">
      <alignment horizontal="left" wrapText="1"/>
    </xf>
    <xf numFmtId="0" fontId="18" fillId="0" borderId="28" xfId="4" applyFont="1" applyBorder="1" applyAlignment="1">
      <alignment vertical="center"/>
    </xf>
    <xf numFmtId="0" fontId="0" fillId="0" borderId="28" xfId="0" applyBorder="1"/>
    <xf numFmtId="0" fontId="5" fillId="0" borderId="0" xfId="0" applyFont="1"/>
    <xf numFmtId="0" fontId="0" fillId="0" borderId="0" xfId="4" applyFont="1" applyAlignment="1">
      <alignment vertical="center"/>
    </xf>
    <xf numFmtId="0" fontId="0" fillId="0" borderId="0" xfId="4" applyFont="1" applyAlignment="1">
      <alignment vertical="top"/>
    </xf>
    <xf numFmtId="166" fontId="0" fillId="0" borderId="0" xfId="4" applyNumberFormat="1" applyFont="1"/>
    <xf numFmtId="0" fontId="5" fillId="0" borderId="5" xfId="0" applyFont="1" applyBorder="1"/>
    <xf numFmtId="0" fontId="0" fillId="0" borderId="5" xfId="0" applyBorder="1"/>
    <xf numFmtId="165" fontId="1" fillId="0" borderId="0" xfId="1"/>
    <xf numFmtId="0" fontId="0" fillId="0" borderId="29" xfId="0" applyBorder="1"/>
    <xf numFmtId="165" fontId="1" fillId="0" borderId="29" xfId="1" applyBorder="1"/>
    <xf numFmtId="10" fontId="1" fillId="0" borderId="29" xfId="2" applyNumberFormat="1" applyBorder="1"/>
    <xf numFmtId="9" fontId="1" fillId="0" borderId="29" xfId="2" applyBorder="1"/>
    <xf numFmtId="0" fontId="0" fillId="0" borderId="29" xfId="0" applyBorder="1" applyAlignment="1">
      <alignment horizontal="center"/>
    </xf>
    <xf numFmtId="0" fontId="0" fillId="0" borderId="36" xfId="0" applyBorder="1"/>
    <xf numFmtId="0" fontId="0" fillId="0" borderId="37" xfId="0" applyBorder="1"/>
    <xf numFmtId="10" fontId="1" fillId="0" borderId="34" xfId="2" applyNumberFormat="1" applyBorder="1"/>
    <xf numFmtId="0" fontId="0" fillId="0" borderId="35" xfId="0" applyBorder="1"/>
    <xf numFmtId="9" fontId="1" fillId="0" borderId="34" xfId="2" applyNumberFormat="1" applyBorder="1"/>
    <xf numFmtId="9" fontId="1" fillId="0" borderId="35" xfId="2" applyBorder="1"/>
    <xf numFmtId="9" fontId="1" fillId="0" borderId="34" xfId="2" applyBorder="1"/>
    <xf numFmtId="9" fontId="1" fillId="0" borderId="38" xfId="2" applyBorder="1"/>
    <xf numFmtId="0" fontId="0" fillId="0" borderId="37" xfId="0" applyBorder="1" applyAlignment="1">
      <alignment horizontal="center"/>
    </xf>
    <xf numFmtId="0" fontId="0" fillId="9" borderId="34" xfId="0" applyFill="1" applyBorder="1" applyAlignment="1">
      <alignment horizontal="center"/>
    </xf>
    <xf numFmtId="17" fontId="0" fillId="9" borderId="35" xfId="0" applyNumberFormat="1" applyFill="1" applyBorder="1" applyAlignment="1">
      <alignment horizontal="center"/>
    </xf>
    <xf numFmtId="0" fontId="0" fillId="9" borderId="37" xfId="0" applyFill="1" applyBorder="1"/>
    <xf numFmtId="165" fontId="1" fillId="9" borderId="29" xfId="1" applyFill="1" applyBorder="1"/>
    <xf numFmtId="0" fontId="0" fillId="9" borderId="29" xfId="0" applyFill="1" applyBorder="1"/>
    <xf numFmtId="167" fontId="0" fillId="0" borderId="0" xfId="0" applyNumberFormat="1" applyAlignment="1">
      <alignment horizontal="left"/>
    </xf>
    <xf numFmtId="0" fontId="5" fillId="5" borderId="22" xfId="0" applyFont="1" applyFill="1" applyBorder="1" applyAlignment="1">
      <alignment horizontal="left" vertical="center" wrapText="1"/>
    </xf>
    <xf numFmtId="0" fontId="17" fillId="0" borderId="4" xfId="0" applyFont="1" applyBorder="1" applyAlignment="1" applyProtection="1">
      <alignment horizontal="left" vertical="center"/>
      <protection locked="0"/>
    </xf>
    <xf numFmtId="0" fontId="17" fillId="4" borderId="2" xfId="0" applyFont="1" applyFill="1" applyBorder="1" applyAlignment="1" applyProtection="1">
      <alignment horizontal="left" vertical="top" wrapText="1"/>
      <protection locked="0"/>
    </xf>
    <xf numFmtId="0" fontId="18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166" fontId="0" fillId="0" borderId="8" xfId="0" applyNumberFormat="1" applyBorder="1" applyAlignment="1">
      <alignment horizontal="left"/>
    </xf>
    <xf numFmtId="0" fontId="9" fillId="0" borderId="0" xfId="0" applyFont="1" applyAlignment="1">
      <alignment horizontal="center" textRotation="90" wrapText="1"/>
    </xf>
    <xf numFmtId="0" fontId="10" fillId="0" borderId="0" xfId="0" applyFont="1" applyAlignment="1">
      <alignment horizontal="center" textRotation="90" wrapText="1"/>
    </xf>
    <xf numFmtId="0" fontId="0" fillId="2" borderId="0" xfId="0" applyFill="1" applyAlignment="1">
      <alignment horizontal="left"/>
    </xf>
    <xf numFmtId="0" fontId="9" fillId="0" borderId="0" xfId="0" applyFont="1" applyAlignment="1">
      <alignment horizontal="center" textRotation="90"/>
    </xf>
    <xf numFmtId="0" fontId="0" fillId="0" borderId="2" xfId="4" applyFont="1" applyBorder="1" applyAlignment="1">
      <alignment horizontal="left" vertical="top" wrapText="1"/>
    </xf>
    <xf numFmtId="0" fontId="0" fillId="0" borderId="7" xfId="4" applyFont="1" applyBorder="1" applyAlignment="1">
      <alignment horizontal="left" vertical="top" wrapText="1"/>
    </xf>
    <xf numFmtId="0" fontId="5" fillId="0" borderId="10" xfId="0" applyFont="1" applyBorder="1" applyAlignment="1">
      <alignment horizontal="center"/>
    </xf>
    <xf numFmtId="0" fontId="5" fillId="0" borderId="1" xfId="3" applyFont="1" applyBorder="1" applyAlignment="1">
      <alignment horizontal="left" vertical="top"/>
    </xf>
    <xf numFmtId="0" fontId="0" fillId="0" borderId="4" xfId="0" applyBorder="1" applyAlignment="1">
      <alignment horizontal="center"/>
    </xf>
    <xf numFmtId="0" fontId="5" fillId="0" borderId="6" xfId="3" applyFont="1" applyBorder="1" applyAlignment="1">
      <alignment horizontal="left" vertical="top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9" borderId="0" xfId="0" applyFill="1" applyAlignment="1">
      <alignment horizontal="center"/>
    </xf>
    <xf numFmtId="0" fontId="0" fillId="9" borderId="39" xfId="0" applyFill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165" fontId="1" fillId="9" borderId="29" xfId="1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0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0" borderId="33" xfId="0" applyBorder="1" applyAlignment="1">
      <alignment horizontal="center" wrapText="1"/>
    </xf>
  </cellXfs>
  <cellStyles count="5">
    <cellStyle name="Normal" xfId="0" builtinId="0"/>
    <cellStyle name="Normal 2" xfId="4"/>
    <cellStyle name="Normal_FICHA DE VERIFICAÇÃO PRELIMINAR - Plano R" xfId="3"/>
    <cellStyle name="Porcentagem" xfId="2" builtinId="5"/>
    <cellStyle name="Vírgula" xfId="1" builtinId="3"/>
  </cellStyles>
  <dxfs count="278"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border>
        <top style="thin">
          <color indexed="64"/>
        </top>
      </border>
    </dxf>
    <dxf>
      <border>
        <left style="thin">
          <color indexed="8"/>
        </left>
        <right style="thin">
          <color indexed="8"/>
        </right>
        <top/>
        <bottom/>
      </border>
    </dxf>
    <dxf>
      <font>
        <b/>
        <i val="0"/>
        <condense val="0"/>
        <extend val="0"/>
        <color indexed="10"/>
      </font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border>
        <top style="thin">
          <color indexed="64"/>
        </top>
      </border>
    </dxf>
    <dxf>
      <border>
        <left style="thin">
          <color indexed="8"/>
        </left>
        <right style="thin">
          <color indexed="8"/>
        </right>
        <top/>
        <bottom/>
      </border>
    </dxf>
    <dxf>
      <font>
        <b/>
        <i val="0"/>
        <condense val="0"/>
        <extend val="0"/>
        <color indexed="10"/>
      </font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fmlaLink="$AF$7"/>
</file>

<file path=xl/ctrlProps/ctrlProp10.xml><?xml version="1.0" encoding="utf-8"?>
<formControlPr xmlns="http://schemas.microsoft.com/office/spreadsheetml/2009/9/main" objectType="CheckBox" fmlaLink="$AF$11"/>
</file>

<file path=xl/ctrlProps/ctrlProp2.xml><?xml version="1.0" encoding="utf-8"?>
<formControlPr xmlns="http://schemas.microsoft.com/office/spreadsheetml/2009/9/main" objectType="CheckBox" fmlaLink="$AF$8"/>
</file>

<file path=xl/ctrlProps/ctrlProp3.xml><?xml version="1.0" encoding="utf-8"?>
<formControlPr xmlns="http://schemas.microsoft.com/office/spreadsheetml/2009/9/main" objectType="CheckBox" fmlaLink="$AF$9"/>
</file>

<file path=xl/ctrlProps/ctrlProp4.xml><?xml version="1.0" encoding="utf-8"?>
<formControlPr xmlns="http://schemas.microsoft.com/office/spreadsheetml/2009/9/main" objectType="CheckBox" fmlaLink="$AF$10"/>
</file>

<file path=xl/ctrlProps/ctrlProp5.xml><?xml version="1.0" encoding="utf-8"?>
<formControlPr xmlns="http://schemas.microsoft.com/office/spreadsheetml/2009/9/main" objectType="CheckBox" fmlaLink="$AF$11"/>
</file>

<file path=xl/ctrlProps/ctrlProp6.xml><?xml version="1.0" encoding="utf-8"?>
<formControlPr xmlns="http://schemas.microsoft.com/office/spreadsheetml/2009/9/main" objectType="CheckBox" fmlaLink="$AF$7"/>
</file>

<file path=xl/ctrlProps/ctrlProp7.xml><?xml version="1.0" encoding="utf-8"?>
<formControlPr xmlns="http://schemas.microsoft.com/office/spreadsheetml/2009/9/main" objectType="CheckBox" fmlaLink="$AF$8"/>
</file>

<file path=xl/ctrlProps/ctrlProp8.xml><?xml version="1.0" encoding="utf-8"?>
<formControlPr xmlns="http://schemas.microsoft.com/office/spreadsheetml/2009/9/main" objectType="CheckBox" fmlaLink="$AF$9"/>
</file>

<file path=xl/ctrlProps/ctrlProp9.xml><?xml version="1.0" encoding="utf-8"?>
<formControlPr xmlns="http://schemas.microsoft.com/office/spreadsheetml/2009/9/main" objectType="CheckBox" fmlaLink="$AF$1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BDI!Q11"/><Relationship Id="rId2" Type="http://schemas.openxmlformats.org/officeDocument/2006/relationships/hyperlink" Target="#Menu!E6"/><Relationship Id="rId1" Type="http://schemas.openxmlformats.org/officeDocument/2006/relationships/image" Target="../media/image1.emf"/><Relationship Id="rId4" Type="http://schemas.openxmlformats.org/officeDocument/2006/relationships/hyperlink" Target="#C&#193;LCULO!D13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BDI!Q11"/><Relationship Id="rId2" Type="http://schemas.openxmlformats.org/officeDocument/2006/relationships/hyperlink" Target="#Menu!E6"/><Relationship Id="rId1" Type="http://schemas.openxmlformats.org/officeDocument/2006/relationships/image" Target="../media/image1.emf"/><Relationship Id="rId4" Type="http://schemas.openxmlformats.org/officeDocument/2006/relationships/hyperlink" Target="#C&#193;LCULO!D13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60960</xdr:colOff>
      <xdr:row>0</xdr:row>
      <xdr:rowOff>15240</xdr:rowOff>
    </xdr:from>
    <xdr:to>
      <xdr:col>15</xdr:col>
      <xdr:colOff>1036320</xdr:colOff>
      <xdr:row>1</xdr:row>
      <xdr:rowOff>167640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400-0000227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240"/>
          <a:ext cx="1823085" cy="381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19</xdr:col>
      <xdr:colOff>1482</xdr:colOff>
      <xdr:row>8</xdr:row>
      <xdr:rowOff>152400</xdr:rowOff>
    </xdr:from>
    <xdr:to>
      <xdr:col>23</xdr:col>
      <xdr:colOff>1055434</xdr:colOff>
      <xdr:row>11</xdr:row>
      <xdr:rowOff>36243</xdr:rowOff>
    </xdr:to>
    <xdr:sp macro="" textlink="" fLocksText="0">
      <xdr:nvSpPr>
        <xdr:cNvPr id="3" name="TextBoxArred">
          <a:extLst>
            <a:ext uri="{FF2B5EF4-FFF2-40B4-BE49-F238E27FC236}">
              <a16:creationId xmlns:a16="http://schemas.microsoft.com/office/drawing/2014/main" xmlns="" id="{00000000-0008-0000-0400-000007140000}"/>
            </a:ext>
          </a:extLst>
        </xdr:cNvPr>
        <xdr:cNvSpPr txBox="1">
          <a:spLocks noChangeArrowheads="1"/>
        </xdr:cNvSpPr>
      </xdr:nvSpPr>
      <xdr:spPr bwMode="auto">
        <a:xfrm flipH="1">
          <a:off x="9450282" y="1438275"/>
          <a:ext cx="4702027" cy="369618"/>
        </a:xfrm>
        <a:prstGeom prst="rect">
          <a:avLst/>
        </a:prstGeom>
        <a:noFill/>
        <a:ln w="648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Considerar valores arredondados com (0,00)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457200</xdr:colOff>
          <xdr:row>9</xdr:row>
          <xdr:rowOff>123825</xdr:rowOff>
        </xdr:from>
        <xdr:to>
          <xdr:col>19</xdr:col>
          <xdr:colOff>895350</xdr:colOff>
          <xdr:row>11</xdr:row>
          <xdr:rowOff>38100</xdr:rowOff>
        </xdr:to>
        <xdr:sp macro="" textlink="">
          <xdr:nvSpPr>
            <xdr:cNvPr id="1025" name="CaixaArredQuant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447675</xdr:colOff>
          <xdr:row>9</xdr:row>
          <xdr:rowOff>123825</xdr:rowOff>
        </xdr:from>
        <xdr:to>
          <xdr:col>20</xdr:col>
          <xdr:colOff>876300</xdr:colOff>
          <xdr:row>11</xdr:row>
          <xdr:rowOff>38100</xdr:rowOff>
        </xdr:to>
        <xdr:sp macro="" textlink="">
          <xdr:nvSpPr>
            <xdr:cNvPr id="1026" name="CaixaArredCustoUnit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285750</xdr:colOff>
          <xdr:row>9</xdr:row>
          <xdr:rowOff>123825</xdr:rowOff>
        </xdr:from>
        <xdr:to>
          <xdr:col>21</xdr:col>
          <xdr:colOff>704850</xdr:colOff>
          <xdr:row>11</xdr:row>
          <xdr:rowOff>38100</xdr:rowOff>
        </xdr:to>
        <xdr:sp macro="" textlink="">
          <xdr:nvSpPr>
            <xdr:cNvPr id="1027" name="CaixaArredBDI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361950</xdr:colOff>
          <xdr:row>9</xdr:row>
          <xdr:rowOff>123825</xdr:rowOff>
        </xdr:from>
        <xdr:to>
          <xdr:col>22</xdr:col>
          <xdr:colOff>790575</xdr:colOff>
          <xdr:row>11</xdr:row>
          <xdr:rowOff>38100</xdr:rowOff>
        </xdr:to>
        <xdr:sp macro="" textlink="">
          <xdr:nvSpPr>
            <xdr:cNvPr id="1028" name="CaixaArredPrecoUnit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447675</xdr:colOff>
          <xdr:row>9</xdr:row>
          <xdr:rowOff>104775</xdr:rowOff>
        </xdr:from>
        <xdr:to>
          <xdr:col>23</xdr:col>
          <xdr:colOff>876300</xdr:colOff>
          <xdr:row>11</xdr:row>
          <xdr:rowOff>28575</xdr:rowOff>
        </xdr:to>
        <xdr:sp macro="" textlink="">
          <xdr:nvSpPr>
            <xdr:cNvPr id="1029" name="CaixaArredPrecoTotal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12</xdr:col>
      <xdr:colOff>300990</xdr:colOff>
      <xdr:row>0</xdr:row>
      <xdr:rowOff>146685</xdr:rowOff>
    </xdr:from>
    <xdr:to>
      <xdr:col>13</xdr:col>
      <xdr:colOff>285790</xdr:colOff>
      <xdr:row>2</xdr:row>
      <xdr:rowOff>38121</xdr:rowOff>
    </xdr:to>
    <xdr:sp macro="" textlink="" fLocksText="0">
      <xdr:nvSpPr>
        <xdr:cNvPr id="9" name="AutoShape 6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400-00000D140000}"/>
            </a:ext>
          </a:extLst>
        </xdr:cNvPr>
        <xdr:cNvSpPr>
          <a:spLocks noChangeArrowheads="1"/>
        </xdr:cNvSpPr>
      </xdr:nvSpPr>
      <xdr:spPr bwMode="auto">
        <a:xfrm>
          <a:off x="548640" y="146685"/>
          <a:ext cx="565825" cy="310536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MENU</a:t>
          </a:r>
        </a:p>
      </xdr:txBody>
    </xdr:sp>
    <xdr:clientData/>
  </xdr:twoCellAnchor>
  <xdr:twoCellAnchor>
    <xdr:from>
      <xdr:col>14</xdr:col>
      <xdr:colOff>28575</xdr:colOff>
      <xdr:row>9</xdr:row>
      <xdr:rowOff>0</xdr:rowOff>
    </xdr:from>
    <xdr:to>
      <xdr:col>15</xdr:col>
      <xdr:colOff>622932</xdr:colOff>
      <xdr:row>11</xdr:row>
      <xdr:rowOff>1310</xdr:rowOff>
    </xdr:to>
    <xdr:sp macro="[1]!Linhas.AddLinha" textlink="" fLocksText="0">
      <xdr:nvSpPr>
        <xdr:cNvPr id="10" name="AutoShape 67">
          <a:extLst>
            <a:ext uri="{FF2B5EF4-FFF2-40B4-BE49-F238E27FC236}">
              <a16:creationId xmlns:a16="http://schemas.microsoft.com/office/drawing/2014/main" xmlns="" id="{00000000-0008-0000-0400-00000E140000}"/>
            </a:ext>
          </a:extLst>
        </xdr:cNvPr>
        <xdr:cNvSpPr>
          <a:spLocks noChangeArrowheads="1"/>
        </xdr:cNvSpPr>
      </xdr:nvSpPr>
      <xdr:spPr bwMode="auto">
        <a:xfrm>
          <a:off x="1438275" y="1447800"/>
          <a:ext cx="1442082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ADICIONAR LINHAS</a:t>
          </a:r>
        </a:p>
      </xdr:txBody>
    </xdr:sp>
    <xdr:clientData fPrintsWithSheet="0"/>
  </xdr:twoCellAnchor>
  <xdr:twoCellAnchor>
    <xdr:from>
      <xdr:col>17</xdr:col>
      <xdr:colOff>93345</xdr:colOff>
      <xdr:row>9</xdr:row>
      <xdr:rowOff>0</xdr:rowOff>
    </xdr:from>
    <xdr:to>
      <xdr:col>17</xdr:col>
      <xdr:colOff>1551138</xdr:colOff>
      <xdr:row>11</xdr:row>
      <xdr:rowOff>1310</xdr:rowOff>
    </xdr:to>
    <xdr:sp macro="[1]!Descrição.fixar" textlink="" fLocksText="0">
      <xdr:nvSpPr>
        <xdr:cNvPr id="11" name="AutoShape 67">
          <a:extLst>
            <a:ext uri="{FF2B5EF4-FFF2-40B4-BE49-F238E27FC236}">
              <a16:creationId xmlns:a16="http://schemas.microsoft.com/office/drawing/2014/main" xmlns="" id="{00000000-0008-0000-0400-00000F140000}"/>
            </a:ext>
          </a:extLst>
        </xdr:cNvPr>
        <xdr:cNvSpPr>
          <a:spLocks noChangeArrowheads="1"/>
        </xdr:cNvSpPr>
      </xdr:nvSpPr>
      <xdr:spPr bwMode="auto">
        <a:xfrm>
          <a:off x="4446270" y="1447800"/>
          <a:ext cx="1457793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FIXAR DESCRIÇÕES</a:t>
          </a:r>
        </a:p>
      </xdr:txBody>
    </xdr:sp>
    <xdr:clientData fPrintsWithSheet="0"/>
  </xdr:twoCellAnchor>
  <xdr:twoCellAnchor>
    <xdr:from>
      <xdr:col>15</xdr:col>
      <xdr:colOff>697230</xdr:colOff>
      <xdr:row>9</xdr:row>
      <xdr:rowOff>0</xdr:rowOff>
    </xdr:from>
    <xdr:to>
      <xdr:col>17</xdr:col>
      <xdr:colOff>11520</xdr:colOff>
      <xdr:row>11</xdr:row>
      <xdr:rowOff>1310</xdr:rowOff>
    </xdr:to>
    <xdr:sp macro="[1]!Linhas.ExcLinhas" textlink="" fLocksText="0">
      <xdr:nvSpPr>
        <xdr:cNvPr id="12" name="AutoShape 67">
          <a:extLst>
            <a:ext uri="{FF2B5EF4-FFF2-40B4-BE49-F238E27FC236}">
              <a16:creationId xmlns:a16="http://schemas.microsoft.com/office/drawing/2014/main" xmlns="" id="{00000000-0008-0000-0400-000010140000}"/>
            </a:ext>
          </a:extLst>
        </xdr:cNvPr>
        <xdr:cNvSpPr>
          <a:spLocks noChangeArrowheads="1"/>
        </xdr:cNvSpPr>
      </xdr:nvSpPr>
      <xdr:spPr bwMode="auto">
        <a:xfrm>
          <a:off x="2954655" y="1447800"/>
          <a:ext cx="1409790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EXCLUIR LINHAS</a:t>
          </a:r>
        </a:p>
      </xdr:txBody>
    </xdr:sp>
    <xdr:clientData fPrintsWithSheet="0"/>
  </xdr:twoCellAnchor>
  <xdr:twoCellAnchor>
    <xdr:from>
      <xdr:col>17</xdr:col>
      <xdr:colOff>1651635</xdr:colOff>
      <xdr:row>9</xdr:row>
      <xdr:rowOff>0</xdr:rowOff>
    </xdr:from>
    <xdr:to>
      <xdr:col>17</xdr:col>
      <xdr:colOff>3337341</xdr:colOff>
      <xdr:row>11</xdr:row>
      <xdr:rowOff>1310</xdr:rowOff>
    </xdr:to>
    <xdr:sp macro="[1]!Descrição.recuperar" textlink="" fLocksText="0">
      <xdr:nvSpPr>
        <xdr:cNvPr id="13" name="AutoShape 67">
          <a:extLst>
            <a:ext uri="{FF2B5EF4-FFF2-40B4-BE49-F238E27FC236}">
              <a16:creationId xmlns:a16="http://schemas.microsoft.com/office/drawing/2014/main" xmlns="" id="{00000000-0008-0000-0400-000011140000}"/>
            </a:ext>
          </a:extLst>
        </xdr:cNvPr>
        <xdr:cNvSpPr>
          <a:spLocks noChangeArrowheads="1"/>
        </xdr:cNvSpPr>
      </xdr:nvSpPr>
      <xdr:spPr bwMode="auto">
        <a:xfrm>
          <a:off x="6004560" y="1447800"/>
          <a:ext cx="1685706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RECUPERAR FÓRMULAS</a:t>
          </a:r>
        </a:p>
      </xdr:txBody>
    </xdr:sp>
    <xdr:clientData fPrintsWithSheet="0"/>
  </xdr:twoCellAnchor>
  <xdr:twoCellAnchor>
    <xdr:from>
      <xdr:col>17</xdr:col>
      <xdr:colOff>3409738</xdr:colOff>
      <xdr:row>9</xdr:row>
      <xdr:rowOff>1</xdr:rowOff>
    </xdr:from>
    <xdr:to>
      <xdr:col>18</xdr:col>
      <xdr:colOff>280471</xdr:colOff>
      <xdr:row>11</xdr:row>
      <xdr:rowOff>1311</xdr:rowOff>
    </xdr:to>
    <xdr:sp macro="[1]!buscarcodigo" textlink="" fLocksText="0">
      <xdr:nvSpPr>
        <xdr:cNvPr id="14" name="AutoShape 67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SpPr>
          <a:spLocks noChangeArrowheads="1"/>
        </xdr:cNvSpPr>
      </xdr:nvSpPr>
      <xdr:spPr bwMode="auto">
        <a:xfrm>
          <a:off x="7762663" y="1447801"/>
          <a:ext cx="1252233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BUSCAR CÓDIGO</a:t>
          </a:r>
        </a:p>
      </xdr:txBody>
    </xdr:sp>
    <xdr:clientData fPrintsWithSheet="0"/>
  </xdr:twoCellAnchor>
  <xdr:twoCellAnchor>
    <xdr:from>
      <xdr:col>12</xdr:col>
      <xdr:colOff>302048</xdr:colOff>
      <xdr:row>2</xdr:row>
      <xdr:rowOff>84667</xdr:rowOff>
    </xdr:from>
    <xdr:to>
      <xdr:col>13</xdr:col>
      <xdr:colOff>285800</xdr:colOff>
      <xdr:row>4</xdr:row>
      <xdr:rowOff>69850</xdr:rowOff>
    </xdr:to>
    <xdr:sp macro="" textlink="" fLocksText="0">
      <xdr:nvSpPr>
        <xdr:cNvPr id="15" name="AutoShape 6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SpPr>
          <a:spLocks noChangeArrowheads="1"/>
        </xdr:cNvSpPr>
      </xdr:nvSpPr>
      <xdr:spPr bwMode="auto">
        <a:xfrm>
          <a:off x="549698" y="503767"/>
          <a:ext cx="564777" cy="309033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←</a:t>
          </a:r>
        </a:p>
      </xdr:txBody>
    </xdr:sp>
    <xdr:clientData/>
  </xdr:twoCellAnchor>
  <xdr:twoCellAnchor>
    <xdr:from>
      <xdr:col>12</xdr:col>
      <xdr:colOff>306281</xdr:colOff>
      <xdr:row>4</xdr:row>
      <xdr:rowOff>120650</xdr:rowOff>
    </xdr:from>
    <xdr:to>
      <xdr:col>13</xdr:col>
      <xdr:colOff>289934</xdr:colOff>
      <xdr:row>7</xdr:row>
      <xdr:rowOff>70269</xdr:rowOff>
    </xdr:to>
    <xdr:sp macro="" textlink="" fLocksText="0">
      <xdr:nvSpPr>
        <xdr:cNvPr id="16" name="AutoShape 6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SpPr>
          <a:spLocks noChangeArrowheads="1"/>
        </xdr:cNvSpPr>
      </xdr:nvSpPr>
      <xdr:spPr bwMode="auto">
        <a:xfrm>
          <a:off x="553931" y="863600"/>
          <a:ext cx="564678" cy="330619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 panose="020F0502020204030204" pitchFamily="34" charset="0"/>
            </a:rPr>
            <a:t>→</a:t>
          </a:r>
          <a:endParaRPr lang="pt-BR" sz="11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60960</xdr:colOff>
      <xdr:row>0</xdr:row>
      <xdr:rowOff>15240</xdr:rowOff>
    </xdr:from>
    <xdr:to>
      <xdr:col>15</xdr:col>
      <xdr:colOff>1036320</xdr:colOff>
      <xdr:row>1</xdr:row>
      <xdr:rowOff>167640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400-0000227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15240"/>
          <a:ext cx="1823085" cy="381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19</xdr:col>
      <xdr:colOff>1482</xdr:colOff>
      <xdr:row>8</xdr:row>
      <xdr:rowOff>152400</xdr:rowOff>
    </xdr:from>
    <xdr:to>
      <xdr:col>23</xdr:col>
      <xdr:colOff>1055434</xdr:colOff>
      <xdr:row>11</xdr:row>
      <xdr:rowOff>36243</xdr:rowOff>
    </xdr:to>
    <xdr:sp macro="" textlink="" fLocksText="0">
      <xdr:nvSpPr>
        <xdr:cNvPr id="3" name="TextBoxArred">
          <a:extLst>
            <a:ext uri="{FF2B5EF4-FFF2-40B4-BE49-F238E27FC236}">
              <a16:creationId xmlns:a16="http://schemas.microsoft.com/office/drawing/2014/main" xmlns="" id="{00000000-0008-0000-0400-000007140000}"/>
            </a:ext>
          </a:extLst>
        </xdr:cNvPr>
        <xdr:cNvSpPr txBox="1">
          <a:spLocks noChangeArrowheads="1"/>
        </xdr:cNvSpPr>
      </xdr:nvSpPr>
      <xdr:spPr bwMode="auto">
        <a:xfrm flipH="1">
          <a:off x="9450282" y="1438275"/>
          <a:ext cx="4702027" cy="369618"/>
        </a:xfrm>
        <a:prstGeom prst="rect">
          <a:avLst/>
        </a:prstGeom>
        <a:noFill/>
        <a:ln w="648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Considerar valores arredondados com (0,00)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457200</xdr:colOff>
          <xdr:row>9</xdr:row>
          <xdr:rowOff>123825</xdr:rowOff>
        </xdr:from>
        <xdr:to>
          <xdr:col>19</xdr:col>
          <xdr:colOff>895350</xdr:colOff>
          <xdr:row>11</xdr:row>
          <xdr:rowOff>38100</xdr:rowOff>
        </xdr:to>
        <xdr:sp macro="" textlink="">
          <xdr:nvSpPr>
            <xdr:cNvPr id="2049" name="CaixaArredQuant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447675</xdr:colOff>
          <xdr:row>9</xdr:row>
          <xdr:rowOff>123825</xdr:rowOff>
        </xdr:from>
        <xdr:to>
          <xdr:col>20</xdr:col>
          <xdr:colOff>876300</xdr:colOff>
          <xdr:row>11</xdr:row>
          <xdr:rowOff>38100</xdr:rowOff>
        </xdr:to>
        <xdr:sp macro="" textlink="">
          <xdr:nvSpPr>
            <xdr:cNvPr id="2050" name="CaixaArredCustoUnit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285750</xdr:colOff>
          <xdr:row>9</xdr:row>
          <xdr:rowOff>123825</xdr:rowOff>
        </xdr:from>
        <xdr:to>
          <xdr:col>21</xdr:col>
          <xdr:colOff>704850</xdr:colOff>
          <xdr:row>11</xdr:row>
          <xdr:rowOff>38100</xdr:rowOff>
        </xdr:to>
        <xdr:sp macro="" textlink="">
          <xdr:nvSpPr>
            <xdr:cNvPr id="2051" name="CaixaArredBDI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361950</xdr:colOff>
          <xdr:row>9</xdr:row>
          <xdr:rowOff>123825</xdr:rowOff>
        </xdr:from>
        <xdr:to>
          <xdr:col>22</xdr:col>
          <xdr:colOff>790575</xdr:colOff>
          <xdr:row>11</xdr:row>
          <xdr:rowOff>38100</xdr:rowOff>
        </xdr:to>
        <xdr:sp macro="" textlink="">
          <xdr:nvSpPr>
            <xdr:cNvPr id="2052" name="CaixaArredPrecoUnit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447675</xdr:colOff>
          <xdr:row>9</xdr:row>
          <xdr:rowOff>104775</xdr:rowOff>
        </xdr:from>
        <xdr:to>
          <xdr:col>23</xdr:col>
          <xdr:colOff>876300</xdr:colOff>
          <xdr:row>11</xdr:row>
          <xdr:rowOff>28575</xdr:rowOff>
        </xdr:to>
        <xdr:sp macro="" textlink="">
          <xdr:nvSpPr>
            <xdr:cNvPr id="2053" name="CaixaArredPrecoTotal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>
    <xdr:from>
      <xdr:col>12</xdr:col>
      <xdr:colOff>300990</xdr:colOff>
      <xdr:row>0</xdr:row>
      <xdr:rowOff>146685</xdr:rowOff>
    </xdr:from>
    <xdr:to>
      <xdr:col>13</xdr:col>
      <xdr:colOff>285790</xdr:colOff>
      <xdr:row>2</xdr:row>
      <xdr:rowOff>38121</xdr:rowOff>
    </xdr:to>
    <xdr:sp macro="" textlink="" fLocksText="0">
      <xdr:nvSpPr>
        <xdr:cNvPr id="9" name="AutoShape 6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400-00000D140000}"/>
            </a:ext>
          </a:extLst>
        </xdr:cNvPr>
        <xdr:cNvSpPr>
          <a:spLocks noChangeArrowheads="1"/>
        </xdr:cNvSpPr>
      </xdr:nvSpPr>
      <xdr:spPr bwMode="auto">
        <a:xfrm>
          <a:off x="548640" y="146685"/>
          <a:ext cx="565825" cy="310536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MENU</a:t>
          </a:r>
        </a:p>
      </xdr:txBody>
    </xdr:sp>
    <xdr:clientData/>
  </xdr:twoCellAnchor>
  <xdr:twoCellAnchor>
    <xdr:from>
      <xdr:col>14</xdr:col>
      <xdr:colOff>28575</xdr:colOff>
      <xdr:row>9</xdr:row>
      <xdr:rowOff>0</xdr:rowOff>
    </xdr:from>
    <xdr:to>
      <xdr:col>15</xdr:col>
      <xdr:colOff>622932</xdr:colOff>
      <xdr:row>11</xdr:row>
      <xdr:rowOff>1310</xdr:rowOff>
    </xdr:to>
    <xdr:sp macro="[1]!Linhas.AddLinha" textlink="" fLocksText="0">
      <xdr:nvSpPr>
        <xdr:cNvPr id="10" name="AutoShape 67">
          <a:extLst>
            <a:ext uri="{FF2B5EF4-FFF2-40B4-BE49-F238E27FC236}">
              <a16:creationId xmlns:a16="http://schemas.microsoft.com/office/drawing/2014/main" xmlns="" id="{00000000-0008-0000-0400-00000E140000}"/>
            </a:ext>
          </a:extLst>
        </xdr:cNvPr>
        <xdr:cNvSpPr>
          <a:spLocks noChangeArrowheads="1"/>
        </xdr:cNvSpPr>
      </xdr:nvSpPr>
      <xdr:spPr bwMode="auto">
        <a:xfrm>
          <a:off x="1438275" y="1447800"/>
          <a:ext cx="1442082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ADICIONAR LINHAS</a:t>
          </a:r>
        </a:p>
      </xdr:txBody>
    </xdr:sp>
    <xdr:clientData fPrintsWithSheet="0"/>
  </xdr:twoCellAnchor>
  <xdr:twoCellAnchor>
    <xdr:from>
      <xdr:col>17</xdr:col>
      <xdr:colOff>93345</xdr:colOff>
      <xdr:row>9</xdr:row>
      <xdr:rowOff>0</xdr:rowOff>
    </xdr:from>
    <xdr:to>
      <xdr:col>17</xdr:col>
      <xdr:colOff>1551138</xdr:colOff>
      <xdr:row>11</xdr:row>
      <xdr:rowOff>1310</xdr:rowOff>
    </xdr:to>
    <xdr:sp macro="[1]!Descrição.fixar" textlink="" fLocksText="0">
      <xdr:nvSpPr>
        <xdr:cNvPr id="11" name="AutoShape 67">
          <a:extLst>
            <a:ext uri="{FF2B5EF4-FFF2-40B4-BE49-F238E27FC236}">
              <a16:creationId xmlns:a16="http://schemas.microsoft.com/office/drawing/2014/main" xmlns="" id="{00000000-0008-0000-0400-00000F140000}"/>
            </a:ext>
          </a:extLst>
        </xdr:cNvPr>
        <xdr:cNvSpPr>
          <a:spLocks noChangeArrowheads="1"/>
        </xdr:cNvSpPr>
      </xdr:nvSpPr>
      <xdr:spPr bwMode="auto">
        <a:xfrm>
          <a:off x="4446270" y="1447800"/>
          <a:ext cx="1457793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FIXAR DESCRIÇÕES</a:t>
          </a:r>
        </a:p>
      </xdr:txBody>
    </xdr:sp>
    <xdr:clientData fPrintsWithSheet="0"/>
  </xdr:twoCellAnchor>
  <xdr:twoCellAnchor>
    <xdr:from>
      <xdr:col>15</xdr:col>
      <xdr:colOff>697230</xdr:colOff>
      <xdr:row>9</xdr:row>
      <xdr:rowOff>0</xdr:rowOff>
    </xdr:from>
    <xdr:to>
      <xdr:col>17</xdr:col>
      <xdr:colOff>11520</xdr:colOff>
      <xdr:row>11</xdr:row>
      <xdr:rowOff>1310</xdr:rowOff>
    </xdr:to>
    <xdr:sp macro="[1]!Linhas.ExcLinhas" textlink="" fLocksText="0">
      <xdr:nvSpPr>
        <xdr:cNvPr id="12" name="AutoShape 67">
          <a:extLst>
            <a:ext uri="{FF2B5EF4-FFF2-40B4-BE49-F238E27FC236}">
              <a16:creationId xmlns:a16="http://schemas.microsoft.com/office/drawing/2014/main" xmlns="" id="{00000000-0008-0000-0400-000010140000}"/>
            </a:ext>
          </a:extLst>
        </xdr:cNvPr>
        <xdr:cNvSpPr>
          <a:spLocks noChangeArrowheads="1"/>
        </xdr:cNvSpPr>
      </xdr:nvSpPr>
      <xdr:spPr bwMode="auto">
        <a:xfrm>
          <a:off x="2954655" y="1447800"/>
          <a:ext cx="1409790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EXCLUIR LINHAS</a:t>
          </a:r>
        </a:p>
      </xdr:txBody>
    </xdr:sp>
    <xdr:clientData fPrintsWithSheet="0"/>
  </xdr:twoCellAnchor>
  <xdr:twoCellAnchor>
    <xdr:from>
      <xdr:col>17</xdr:col>
      <xdr:colOff>1651635</xdr:colOff>
      <xdr:row>9</xdr:row>
      <xdr:rowOff>0</xdr:rowOff>
    </xdr:from>
    <xdr:to>
      <xdr:col>17</xdr:col>
      <xdr:colOff>3337341</xdr:colOff>
      <xdr:row>11</xdr:row>
      <xdr:rowOff>1310</xdr:rowOff>
    </xdr:to>
    <xdr:sp macro="[1]!Descrição.recuperar" textlink="" fLocksText="0">
      <xdr:nvSpPr>
        <xdr:cNvPr id="13" name="AutoShape 67">
          <a:extLst>
            <a:ext uri="{FF2B5EF4-FFF2-40B4-BE49-F238E27FC236}">
              <a16:creationId xmlns:a16="http://schemas.microsoft.com/office/drawing/2014/main" xmlns="" id="{00000000-0008-0000-0400-000011140000}"/>
            </a:ext>
          </a:extLst>
        </xdr:cNvPr>
        <xdr:cNvSpPr>
          <a:spLocks noChangeArrowheads="1"/>
        </xdr:cNvSpPr>
      </xdr:nvSpPr>
      <xdr:spPr bwMode="auto">
        <a:xfrm>
          <a:off x="6004560" y="1447800"/>
          <a:ext cx="1685706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RECUPERAR FÓRMULAS</a:t>
          </a:r>
        </a:p>
      </xdr:txBody>
    </xdr:sp>
    <xdr:clientData fPrintsWithSheet="0"/>
  </xdr:twoCellAnchor>
  <xdr:twoCellAnchor>
    <xdr:from>
      <xdr:col>17</xdr:col>
      <xdr:colOff>3409738</xdr:colOff>
      <xdr:row>9</xdr:row>
      <xdr:rowOff>1</xdr:rowOff>
    </xdr:from>
    <xdr:to>
      <xdr:col>18</xdr:col>
      <xdr:colOff>280471</xdr:colOff>
      <xdr:row>11</xdr:row>
      <xdr:rowOff>1311</xdr:rowOff>
    </xdr:to>
    <xdr:sp macro="[1]!buscarcodigo" textlink="" fLocksText="0">
      <xdr:nvSpPr>
        <xdr:cNvPr id="14" name="AutoShape 67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SpPr>
          <a:spLocks noChangeArrowheads="1"/>
        </xdr:cNvSpPr>
      </xdr:nvSpPr>
      <xdr:spPr bwMode="auto">
        <a:xfrm>
          <a:off x="7762663" y="1447801"/>
          <a:ext cx="1252233" cy="32516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BUSCAR CÓDIGO</a:t>
          </a:r>
        </a:p>
      </xdr:txBody>
    </xdr:sp>
    <xdr:clientData fPrintsWithSheet="0"/>
  </xdr:twoCellAnchor>
  <xdr:twoCellAnchor>
    <xdr:from>
      <xdr:col>12</xdr:col>
      <xdr:colOff>302048</xdr:colOff>
      <xdr:row>2</xdr:row>
      <xdr:rowOff>84667</xdr:rowOff>
    </xdr:from>
    <xdr:to>
      <xdr:col>13</xdr:col>
      <xdr:colOff>285800</xdr:colOff>
      <xdr:row>4</xdr:row>
      <xdr:rowOff>69850</xdr:rowOff>
    </xdr:to>
    <xdr:sp macro="" textlink="" fLocksText="0">
      <xdr:nvSpPr>
        <xdr:cNvPr id="15" name="AutoShape 6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SpPr>
          <a:spLocks noChangeArrowheads="1"/>
        </xdr:cNvSpPr>
      </xdr:nvSpPr>
      <xdr:spPr bwMode="auto">
        <a:xfrm>
          <a:off x="549698" y="503767"/>
          <a:ext cx="564777" cy="309033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←</a:t>
          </a:r>
        </a:p>
      </xdr:txBody>
    </xdr:sp>
    <xdr:clientData/>
  </xdr:twoCellAnchor>
  <xdr:twoCellAnchor>
    <xdr:from>
      <xdr:col>12</xdr:col>
      <xdr:colOff>306281</xdr:colOff>
      <xdr:row>4</xdr:row>
      <xdr:rowOff>120650</xdr:rowOff>
    </xdr:from>
    <xdr:to>
      <xdr:col>13</xdr:col>
      <xdr:colOff>289934</xdr:colOff>
      <xdr:row>7</xdr:row>
      <xdr:rowOff>70269</xdr:rowOff>
    </xdr:to>
    <xdr:sp macro="" textlink="" fLocksText="0">
      <xdr:nvSpPr>
        <xdr:cNvPr id="16" name="AutoShape 6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SpPr>
          <a:spLocks noChangeArrowheads="1"/>
        </xdr:cNvSpPr>
      </xdr:nvSpPr>
      <xdr:spPr bwMode="auto">
        <a:xfrm>
          <a:off x="553931" y="863600"/>
          <a:ext cx="564678" cy="330619"/>
        </a:xfrm>
        <a:prstGeom prst="roundRect">
          <a:avLst>
            <a:gd name="adj" fmla="val 16667"/>
          </a:avLst>
        </a:prstGeom>
        <a:solidFill>
          <a:srgbClr val="99CCFF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 panose="020F0502020204030204" pitchFamily="34" charset="0"/>
            </a:rPr>
            <a:t>→</a:t>
          </a:r>
          <a:endParaRPr lang="pt-BR" sz="11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&#225;rio/OneDrive/Prefeitura%202021/Gin&#225;sio%20de%20Esportes/Documentos%20enviados%20via%20email/OR&#199;AMENTO%20GINASIO%20PARA%20LICITA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ORÇAMENTO GINASIO PARA LICITAR"/>
    </sheetNames>
    <definedNames>
      <definedName name="buscarcodigo"/>
      <definedName name="Descrição.fixar"/>
      <definedName name="Descrição.recuperar"/>
      <definedName name="Linhas.AddLinha"/>
      <definedName name="Linhas.ExcLinhas"/>
    </definedNames>
    <sheetDataSet>
      <sheetData sheetId="0">
        <row r="1">
          <cell r="J1" t="str">
            <v>PM</v>
          </cell>
        </row>
        <row r="2">
          <cell r="J2" t="str">
            <v>v3.0.5</v>
          </cell>
        </row>
        <row r="3">
          <cell r="O3">
            <v>1</v>
          </cell>
        </row>
        <row r="4">
          <cell r="O4">
            <v>2</v>
          </cell>
        </row>
      </sheetData>
      <sheetData sheetId="1">
        <row r="2">
          <cell r="J2" t="str">
            <v>Itens de Investimento</v>
          </cell>
          <cell r="K2" t="str">
            <v>Unidades habitacionais</v>
          </cell>
          <cell r="L2">
            <v>3</v>
          </cell>
          <cell r="M2" t="str">
            <v>Equipamentos comunitários</v>
          </cell>
          <cell r="N2">
            <v>6</v>
          </cell>
          <cell r="O2" t="str">
            <v>Pavimentação</v>
          </cell>
          <cell r="P2">
            <v>6</v>
          </cell>
          <cell r="Q2" t="str">
            <v xml:space="preserve">Drenagem </v>
          </cell>
          <cell r="R2">
            <v>6</v>
          </cell>
          <cell r="S2" t="str">
            <v>Abastecimento de água</v>
          </cell>
          <cell r="T2">
            <v>11</v>
          </cell>
          <cell r="U2" t="str">
            <v>Esgotamento sanitário</v>
          </cell>
          <cell r="V2">
            <v>8</v>
          </cell>
          <cell r="W2" t="str">
            <v>Energia elétrica e iluminação pública</v>
          </cell>
          <cell r="X2">
            <v>4</v>
          </cell>
          <cell r="Y2" t="str">
            <v>Coleta e tratamento de resíduos sólidos</v>
          </cell>
          <cell r="Z2">
            <v>6</v>
          </cell>
          <cell r="AA2" t="str">
            <v xml:space="preserve">Contenção e estabilização de encostas </v>
          </cell>
          <cell r="AB2">
            <v>2</v>
          </cell>
          <cell r="AC2" t="str">
            <v>Regularização fundiária</v>
          </cell>
          <cell r="AD2">
            <v>2</v>
          </cell>
          <cell r="AE2" t="str">
            <v>Aquisição de terreno</v>
          </cell>
          <cell r="AF2">
            <v>2</v>
          </cell>
          <cell r="AG2" t="str">
            <v>Aquisição de equipamentos e insumos</v>
          </cell>
          <cell r="AH2">
            <v>1</v>
          </cell>
          <cell r="AI2" t="str">
            <v>Elaboração de estudos e projetos</v>
          </cell>
          <cell r="AJ2">
            <v>1</v>
          </cell>
          <cell r="AK2" t="str">
            <v>Instrumentos e ações em planejamento e gestão pública</v>
          </cell>
          <cell r="AL2">
            <v>1</v>
          </cell>
          <cell r="AM2" t="str">
            <v>Ações complementares às obras</v>
          </cell>
          <cell r="AN2">
            <v>3</v>
          </cell>
          <cell r="AO2" t="str">
            <v>Gerenciamento</v>
          </cell>
          <cell r="AP2">
            <v>1</v>
          </cell>
          <cell r="AQ2" t="str">
            <v>Trabalho social</v>
          </cell>
          <cell r="AR2">
            <v>4</v>
          </cell>
        </row>
        <row r="3">
          <cell r="J3" t="str">
            <v>Unidades habitacionais</v>
          </cell>
        </row>
        <row r="4">
          <cell r="F4" t="str">
            <v>OGU</v>
          </cell>
          <cell r="J4" t="str">
            <v>Equipamentos comunitários</v>
          </cell>
        </row>
        <row r="5">
          <cell r="F5" t="str">
            <v>MUNICÍPIO DE LARANJAL</v>
          </cell>
          <cell r="J5" t="str">
            <v>Pavimentação</v>
          </cell>
        </row>
        <row r="6">
          <cell r="F6" t="str">
            <v>LARANJAL/PR</v>
          </cell>
          <cell r="J6" t="str">
            <v xml:space="preserve">Drenagem </v>
          </cell>
        </row>
        <row r="7">
          <cell r="J7" t="str">
            <v>Abastecimento de água</v>
          </cell>
        </row>
        <row r="8">
          <cell r="J8" t="str">
            <v>Esgotamento sanitário</v>
          </cell>
        </row>
        <row r="9">
          <cell r="F9">
            <v>920939.10762942117</v>
          </cell>
          <cell r="J9" t="str">
            <v>Energia elétrica e iluminação pública</v>
          </cell>
        </row>
        <row r="10">
          <cell r="F10">
            <v>0</v>
          </cell>
          <cell r="J10" t="str">
            <v>Coleta e tratamento de resíduos sólidos</v>
          </cell>
        </row>
        <row r="11">
          <cell r="J11" t="str">
            <v xml:space="preserve">Contenção e estabilização de encostas </v>
          </cell>
        </row>
        <row r="12">
          <cell r="J12" t="str">
            <v>Regularização fundiária</v>
          </cell>
        </row>
        <row r="13">
          <cell r="J13" t="str">
            <v>Aquisição de terreno</v>
          </cell>
        </row>
        <row r="14">
          <cell r="J14" t="str">
            <v>Aquisição de equipamentos e insumos</v>
          </cell>
        </row>
        <row r="15">
          <cell r="J15" t="str">
            <v>Elaboração de estudos e projetos</v>
          </cell>
        </row>
        <row r="16">
          <cell r="F16" t="str">
            <v xml:space="preserve">REFORMA E AMPLIAÇÃO GINASIO </v>
          </cell>
          <cell r="J16" t="str">
            <v>Instrumentos e ações em planejamento e gestão pública</v>
          </cell>
        </row>
        <row r="17">
          <cell r="F17" t="str">
            <v xml:space="preserve">REFORMA E AMPLIAÇÃO GINASIO </v>
          </cell>
          <cell r="J17" t="str">
            <v>Ações complementares às obras</v>
          </cell>
        </row>
        <row r="18">
          <cell r="F18" t="str">
            <v>NÃO DESONERADO</v>
          </cell>
          <cell r="J18" t="str">
            <v>Gerenciamento</v>
          </cell>
        </row>
        <row r="19">
          <cell r="J19" t="str">
            <v>Trabalho social</v>
          </cell>
        </row>
        <row r="22">
          <cell r="F22" t="str">
            <v xml:space="preserve">SIMONE DE ANDRADE </v>
          </cell>
        </row>
        <row r="23">
          <cell r="F23" t="str">
            <v>ARQUITETA E URBANISTA CAU A450111</v>
          </cell>
        </row>
        <row r="24">
          <cell r="F24" t="str">
            <v>12669270</v>
          </cell>
        </row>
        <row r="25">
          <cell r="F25">
            <v>45280</v>
          </cell>
        </row>
        <row r="46">
          <cell r="F46">
            <v>44593</v>
          </cell>
        </row>
        <row r="50">
          <cell r="F50" t="str">
            <v xml:space="preserve">PAULO HENRIQUE R. MEDEIROS </v>
          </cell>
        </row>
        <row r="51">
          <cell r="F51" t="str">
            <v>ENGENHEIRO CIVIL</v>
          </cell>
        </row>
        <row r="52">
          <cell r="F52" t="str">
            <v>168.345/D</v>
          </cell>
        </row>
      </sheetData>
      <sheetData sheetId="2"/>
      <sheetData sheetId="3">
        <row r="29">
          <cell r="S29">
            <v>0.2223</v>
          </cell>
        </row>
        <row r="30">
          <cell r="S30">
            <v>0.2223</v>
          </cell>
        </row>
        <row r="69">
          <cell r="S69">
            <v>0</v>
          </cell>
        </row>
        <row r="70">
          <cell r="S70">
            <v>0</v>
          </cell>
        </row>
        <row r="109">
          <cell r="S109">
            <v>0</v>
          </cell>
        </row>
        <row r="110">
          <cell r="S110">
            <v>0</v>
          </cell>
        </row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>
        <row r="12">
          <cell r="A12">
            <v>2</v>
          </cell>
          <cell r="AA12" t="str">
            <v>.</v>
          </cell>
        </row>
        <row r="15">
          <cell r="M15">
            <v>1</v>
          </cell>
          <cell r="Q15">
            <v>0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 t="str">
            <v/>
          </cell>
        </row>
        <row r="19">
          <cell r="M19">
            <v>2</v>
          </cell>
        </row>
        <row r="20">
          <cell r="M20">
            <v>2</v>
          </cell>
        </row>
        <row r="21">
          <cell r="M21">
            <v>2</v>
          </cell>
        </row>
        <row r="22">
          <cell r="M22">
            <v>2</v>
          </cell>
        </row>
        <row r="23">
          <cell r="M23">
            <v>2</v>
          </cell>
        </row>
        <row r="24">
          <cell r="M24">
            <v>2</v>
          </cell>
        </row>
        <row r="25">
          <cell r="M25">
            <v>2</v>
          </cell>
        </row>
        <row r="26">
          <cell r="M26">
            <v>2</v>
          </cell>
        </row>
        <row r="27">
          <cell r="M27" t="str">
            <v/>
          </cell>
        </row>
        <row r="28">
          <cell r="M28">
            <v>2</v>
          </cell>
        </row>
        <row r="29">
          <cell r="M29">
            <v>2</v>
          </cell>
        </row>
        <row r="30">
          <cell r="M30" t="str">
            <v/>
          </cell>
        </row>
        <row r="31">
          <cell r="M31">
            <v>2</v>
          </cell>
        </row>
        <row r="32">
          <cell r="M32" t="str">
            <v/>
          </cell>
        </row>
        <row r="33">
          <cell r="M33">
            <v>2</v>
          </cell>
        </row>
        <row r="34">
          <cell r="M34">
            <v>2</v>
          </cell>
        </row>
        <row r="35">
          <cell r="M35" t="str">
            <v/>
          </cell>
        </row>
        <row r="36">
          <cell r="M36">
            <v>2</v>
          </cell>
        </row>
        <row r="37">
          <cell r="M37">
            <v>2</v>
          </cell>
        </row>
        <row r="38">
          <cell r="M38">
            <v>2</v>
          </cell>
        </row>
        <row r="39">
          <cell r="M39" t="str">
            <v/>
          </cell>
        </row>
        <row r="40">
          <cell r="M40">
            <v>2</v>
          </cell>
        </row>
        <row r="41">
          <cell r="M41" t="str">
            <v/>
          </cell>
        </row>
        <row r="42">
          <cell r="M42">
            <v>2</v>
          </cell>
        </row>
        <row r="43">
          <cell r="M43">
            <v>2</v>
          </cell>
        </row>
        <row r="44">
          <cell r="M44">
            <v>2</v>
          </cell>
        </row>
        <row r="45">
          <cell r="M45" t="str">
            <v/>
          </cell>
        </row>
        <row r="46">
          <cell r="M46" t="str">
            <v/>
          </cell>
        </row>
        <row r="47">
          <cell r="M47">
            <v>3</v>
          </cell>
        </row>
        <row r="48">
          <cell r="M48">
            <v>3</v>
          </cell>
        </row>
        <row r="49">
          <cell r="M49">
            <v>3</v>
          </cell>
        </row>
        <row r="50">
          <cell r="M50">
            <v>3</v>
          </cell>
        </row>
        <row r="51">
          <cell r="M51">
            <v>3</v>
          </cell>
        </row>
        <row r="52">
          <cell r="M52">
            <v>3</v>
          </cell>
        </row>
        <row r="53">
          <cell r="M53">
            <v>3</v>
          </cell>
        </row>
        <row r="54">
          <cell r="M54">
            <v>3</v>
          </cell>
        </row>
        <row r="55">
          <cell r="M55" t="str">
            <v/>
          </cell>
        </row>
        <row r="56">
          <cell r="M56">
            <v>3</v>
          </cell>
        </row>
        <row r="57">
          <cell r="M57" t="str">
            <v/>
          </cell>
        </row>
        <row r="58">
          <cell r="M58">
            <v>3</v>
          </cell>
        </row>
        <row r="59">
          <cell r="M59">
            <v>3</v>
          </cell>
        </row>
        <row r="60">
          <cell r="M60">
            <v>3</v>
          </cell>
        </row>
        <row r="61">
          <cell r="M61" t="str">
            <v/>
          </cell>
        </row>
        <row r="62">
          <cell r="M62">
            <v>3</v>
          </cell>
        </row>
        <row r="63">
          <cell r="M63">
            <v>3</v>
          </cell>
        </row>
        <row r="64">
          <cell r="M64">
            <v>3</v>
          </cell>
        </row>
        <row r="65">
          <cell r="M65">
            <v>3</v>
          </cell>
        </row>
        <row r="66">
          <cell r="M66" t="str">
            <v/>
          </cell>
        </row>
        <row r="67">
          <cell r="M67" t="str">
            <v/>
          </cell>
        </row>
        <row r="68">
          <cell r="M68">
            <v>3</v>
          </cell>
        </row>
        <row r="69">
          <cell r="M69">
            <v>3</v>
          </cell>
        </row>
        <row r="70">
          <cell r="M70">
            <v>3</v>
          </cell>
        </row>
        <row r="71">
          <cell r="M71">
            <v>3</v>
          </cell>
        </row>
        <row r="72">
          <cell r="M72" t="str">
            <v/>
          </cell>
        </row>
        <row r="73">
          <cell r="M73">
            <v>3</v>
          </cell>
        </row>
        <row r="74">
          <cell r="M74" t="str">
            <v/>
          </cell>
        </row>
        <row r="75">
          <cell r="M75">
            <v>3</v>
          </cell>
        </row>
        <row r="76">
          <cell r="M76">
            <v>3</v>
          </cell>
        </row>
        <row r="77">
          <cell r="M77" t="str">
            <v/>
          </cell>
        </row>
        <row r="78">
          <cell r="M78">
            <v>3</v>
          </cell>
        </row>
        <row r="79">
          <cell r="M79">
            <v>3</v>
          </cell>
        </row>
        <row r="80">
          <cell r="M80" t="str">
            <v/>
          </cell>
        </row>
        <row r="81">
          <cell r="M81">
            <v>3</v>
          </cell>
        </row>
        <row r="82">
          <cell r="M82" t="str">
            <v/>
          </cell>
        </row>
        <row r="83">
          <cell r="M83">
            <v>3</v>
          </cell>
        </row>
        <row r="84">
          <cell r="M84">
            <v>3</v>
          </cell>
        </row>
        <row r="85">
          <cell r="M85" t="str">
            <v/>
          </cell>
        </row>
        <row r="86">
          <cell r="M86">
            <v>3</v>
          </cell>
        </row>
        <row r="87">
          <cell r="M87">
            <v>3</v>
          </cell>
        </row>
        <row r="88">
          <cell r="M88">
            <v>3</v>
          </cell>
        </row>
        <row r="89">
          <cell r="M89">
            <v>3</v>
          </cell>
        </row>
        <row r="90">
          <cell r="M90">
            <v>3</v>
          </cell>
        </row>
        <row r="91">
          <cell r="M91">
            <v>3</v>
          </cell>
        </row>
        <row r="92">
          <cell r="M92">
            <v>3</v>
          </cell>
        </row>
        <row r="93">
          <cell r="M93">
            <v>3</v>
          </cell>
        </row>
        <row r="94">
          <cell r="M94">
            <v>3</v>
          </cell>
        </row>
        <row r="95">
          <cell r="M95">
            <v>3</v>
          </cell>
        </row>
        <row r="96">
          <cell r="M96">
            <v>3</v>
          </cell>
        </row>
        <row r="97">
          <cell r="M97">
            <v>3</v>
          </cell>
        </row>
        <row r="98">
          <cell r="M98">
            <v>3</v>
          </cell>
        </row>
        <row r="99">
          <cell r="M99">
            <v>3</v>
          </cell>
        </row>
        <row r="100">
          <cell r="M100" t="str">
            <v/>
          </cell>
        </row>
        <row r="101">
          <cell r="M101">
            <v>3</v>
          </cell>
        </row>
        <row r="102">
          <cell r="M102">
            <v>3</v>
          </cell>
        </row>
        <row r="103">
          <cell r="M103">
            <v>3</v>
          </cell>
        </row>
        <row r="104">
          <cell r="M104">
            <v>3</v>
          </cell>
        </row>
        <row r="105">
          <cell r="M105">
            <v>3</v>
          </cell>
        </row>
        <row r="106">
          <cell r="M106">
            <v>3</v>
          </cell>
        </row>
        <row r="107">
          <cell r="M107">
            <v>3</v>
          </cell>
        </row>
        <row r="108">
          <cell r="M108">
            <v>3</v>
          </cell>
        </row>
        <row r="109">
          <cell r="M109">
            <v>3</v>
          </cell>
        </row>
        <row r="110">
          <cell r="M110">
            <v>3</v>
          </cell>
        </row>
        <row r="111">
          <cell r="M111">
            <v>3</v>
          </cell>
        </row>
        <row r="112">
          <cell r="M112">
            <v>3</v>
          </cell>
        </row>
        <row r="113">
          <cell r="M113">
            <v>3</v>
          </cell>
        </row>
        <row r="114">
          <cell r="M114" t="str">
            <v/>
          </cell>
        </row>
        <row r="115">
          <cell r="M115">
            <v>3</v>
          </cell>
        </row>
        <row r="116">
          <cell r="M116">
            <v>3</v>
          </cell>
        </row>
        <row r="117">
          <cell r="M117">
            <v>3</v>
          </cell>
        </row>
        <row r="118">
          <cell r="M118">
            <v>3</v>
          </cell>
        </row>
        <row r="119">
          <cell r="M119">
            <v>3</v>
          </cell>
        </row>
        <row r="120">
          <cell r="M120">
            <v>3</v>
          </cell>
        </row>
        <row r="121">
          <cell r="M121">
            <v>3</v>
          </cell>
        </row>
        <row r="122">
          <cell r="M122">
            <v>3</v>
          </cell>
        </row>
        <row r="123">
          <cell r="M123">
            <v>3</v>
          </cell>
        </row>
        <row r="124">
          <cell r="M124">
            <v>3</v>
          </cell>
        </row>
        <row r="125">
          <cell r="M125">
            <v>3</v>
          </cell>
        </row>
        <row r="126">
          <cell r="M126">
            <v>3</v>
          </cell>
        </row>
        <row r="127">
          <cell r="M127">
            <v>3</v>
          </cell>
        </row>
        <row r="128">
          <cell r="M128">
            <v>3</v>
          </cell>
        </row>
        <row r="129">
          <cell r="M129">
            <v>3</v>
          </cell>
        </row>
        <row r="130">
          <cell r="M130">
            <v>3</v>
          </cell>
        </row>
        <row r="131">
          <cell r="M131" t="str">
            <v/>
          </cell>
        </row>
        <row r="132">
          <cell r="M132">
            <v>3</v>
          </cell>
        </row>
        <row r="133">
          <cell r="M133">
            <v>3</v>
          </cell>
        </row>
        <row r="134">
          <cell r="M134">
            <v>3</v>
          </cell>
        </row>
        <row r="135">
          <cell r="M135" t="str">
            <v/>
          </cell>
        </row>
        <row r="136">
          <cell r="M136">
            <v>3</v>
          </cell>
        </row>
        <row r="137">
          <cell r="M137">
            <v>3</v>
          </cell>
        </row>
        <row r="138">
          <cell r="M138">
            <v>3</v>
          </cell>
        </row>
        <row r="139">
          <cell r="M139" t="str">
            <v/>
          </cell>
        </row>
        <row r="140">
          <cell r="M140">
            <v>3</v>
          </cell>
        </row>
        <row r="141">
          <cell r="M141">
            <v>3</v>
          </cell>
        </row>
        <row r="142">
          <cell r="M142" t="str">
            <v/>
          </cell>
        </row>
        <row r="143">
          <cell r="M143">
            <v>3</v>
          </cell>
        </row>
        <row r="144">
          <cell r="M144">
            <v>3</v>
          </cell>
        </row>
      </sheetData>
      <sheetData sheetId="6">
        <row r="14">
          <cell r="C14" t="e">
            <v>#VALUE!</v>
          </cell>
        </row>
        <row r="15">
          <cell r="B15" t="str">
            <v>1.Administração Local</v>
          </cell>
          <cell r="C15">
            <v>1</v>
          </cell>
          <cell r="D15" t="str">
            <v>Administração Local</v>
          </cell>
        </row>
        <row r="16">
          <cell r="C16">
            <v>2</v>
          </cell>
        </row>
        <row r="17">
          <cell r="C17">
            <v>3</v>
          </cell>
        </row>
        <row r="18">
          <cell r="C18">
            <v>4</v>
          </cell>
        </row>
        <row r="19">
          <cell r="C19">
            <v>5</v>
          </cell>
        </row>
        <row r="20">
          <cell r="C20">
            <v>6</v>
          </cell>
        </row>
        <row r="21">
          <cell r="C21">
            <v>7</v>
          </cell>
        </row>
        <row r="22">
          <cell r="C22">
            <v>8</v>
          </cell>
        </row>
        <row r="23">
          <cell r="C23">
            <v>9</v>
          </cell>
        </row>
        <row r="24">
          <cell r="C24">
            <v>10</v>
          </cell>
        </row>
        <row r="25">
          <cell r="C25">
            <v>11</v>
          </cell>
        </row>
        <row r="26">
          <cell r="C26">
            <v>12</v>
          </cell>
        </row>
        <row r="27">
          <cell r="C27">
            <v>13</v>
          </cell>
        </row>
        <row r="28">
          <cell r="C28">
            <v>14</v>
          </cell>
        </row>
        <row r="29">
          <cell r="C29">
            <v>15</v>
          </cell>
        </row>
        <row r="30">
          <cell r="C30">
            <v>16</v>
          </cell>
        </row>
        <row r="31">
          <cell r="C31">
            <v>17</v>
          </cell>
        </row>
        <row r="32">
          <cell r="C32">
            <v>18</v>
          </cell>
        </row>
        <row r="33">
          <cell r="C33">
            <v>19</v>
          </cell>
        </row>
        <row r="34">
          <cell r="C34">
            <v>20</v>
          </cell>
        </row>
        <row r="35">
          <cell r="C35">
            <v>21</v>
          </cell>
        </row>
        <row r="36">
          <cell r="C36">
            <v>22</v>
          </cell>
        </row>
        <row r="37">
          <cell r="C37">
            <v>23</v>
          </cell>
        </row>
        <row r="38">
          <cell r="C38">
            <v>24</v>
          </cell>
        </row>
        <row r="39">
          <cell r="C39">
            <v>25</v>
          </cell>
        </row>
        <row r="40">
          <cell r="C40">
            <v>26</v>
          </cell>
        </row>
        <row r="41">
          <cell r="C41">
            <v>27</v>
          </cell>
        </row>
        <row r="42">
          <cell r="C42">
            <v>28</v>
          </cell>
        </row>
        <row r="43">
          <cell r="C43">
            <v>29</v>
          </cell>
        </row>
        <row r="44">
          <cell r="C44">
            <v>30</v>
          </cell>
        </row>
        <row r="45">
          <cell r="C45">
            <v>31</v>
          </cell>
        </row>
        <row r="46">
          <cell r="C46">
            <v>32</v>
          </cell>
        </row>
        <row r="47">
          <cell r="C47">
            <v>33</v>
          </cell>
        </row>
        <row r="48">
          <cell r="C48">
            <v>34</v>
          </cell>
        </row>
        <row r="49">
          <cell r="C49">
            <v>35</v>
          </cell>
        </row>
        <row r="50">
          <cell r="C50">
            <v>36</v>
          </cell>
        </row>
        <row r="51">
          <cell r="C51">
            <v>37</v>
          </cell>
        </row>
        <row r="52">
          <cell r="C52">
            <v>38</v>
          </cell>
        </row>
        <row r="53">
          <cell r="C53">
            <v>39</v>
          </cell>
        </row>
        <row r="54">
          <cell r="C54">
            <v>40</v>
          </cell>
        </row>
        <row r="55">
          <cell r="C55">
            <v>41</v>
          </cell>
        </row>
        <row r="56">
          <cell r="C56">
            <v>42</v>
          </cell>
        </row>
        <row r="57">
          <cell r="C57">
            <v>43</v>
          </cell>
        </row>
        <row r="58">
          <cell r="C58">
            <v>44</v>
          </cell>
        </row>
        <row r="59">
          <cell r="C59">
            <v>45</v>
          </cell>
        </row>
        <row r="60">
          <cell r="C60">
            <v>46</v>
          </cell>
        </row>
        <row r="61">
          <cell r="C61">
            <v>47</v>
          </cell>
        </row>
        <row r="62">
          <cell r="C62">
            <v>48</v>
          </cell>
        </row>
        <row r="63">
          <cell r="C63">
            <v>49</v>
          </cell>
        </row>
        <row r="64">
          <cell r="C64">
            <v>50</v>
          </cell>
        </row>
      </sheetData>
      <sheetData sheetId="7">
        <row r="10">
          <cell r="G10">
            <v>3</v>
          </cell>
        </row>
      </sheetData>
      <sheetData sheetId="8"/>
      <sheetData sheetId="9">
        <row r="9">
          <cell r="J9">
            <v>1</v>
          </cell>
        </row>
        <row r="15">
          <cell r="A15" t="str">
            <v/>
          </cell>
          <cell r="B15">
            <v>1</v>
          </cell>
          <cell r="C15" t="str">
            <v>Administração Local</v>
          </cell>
          <cell r="H15" t="str">
            <v>Para aplicação de Adm. Local é necessário definir os eventos manualmente.</v>
          </cell>
        </row>
        <row r="65">
          <cell r="A65" t="str">
            <v>F</v>
          </cell>
        </row>
      </sheetData>
      <sheetData sheetId="10">
        <row r="3">
          <cell r="AA3">
            <v>0</v>
          </cell>
        </row>
        <row r="13">
          <cell r="A13">
            <v>0</v>
          </cell>
          <cell r="B13" t="str">
            <v>Busca</v>
          </cell>
          <cell r="E13" t="str">
            <v>Item de Investimento</v>
          </cell>
          <cell r="F13" t="str">
            <v>Subitem de Investimento</v>
          </cell>
          <cell r="H13" t="str">
            <v>Situação</v>
          </cell>
          <cell r="I13" t="str">
            <v>Quantidade</v>
          </cell>
          <cell r="O13" t="str">
            <v>Investimento (R$)</v>
          </cell>
          <cell r="R13" t="str">
            <v>Descrição da Meta</v>
          </cell>
          <cell r="T13" t="str">
            <v>Lote de Licitação / nº do CTEF</v>
          </cell>
          <cell r="U13" t="str">
            <v>Investimento (R$)</v>
          </cell>
          <cell r="V13" t="str">
            <v>Divisão do Investimento</v>
          </cell>
          <cell r="W13" t="str">
            <v>Contrapartida Financeira (R$)</v>
          </cell>
          <cell r="X13" t="str">
            <v>Outros (R$)</v>
          </cell>
        </row>
        <row r="14">
          <cell r="A14">
            <v>1</v>
          </cell>
          <cell r="B14" t="str">
            <v>Automático</v>
          </cell>
          <cell r="O14">
            <v>920939.10762942105</v>
          </cell>
          <cell r="AA14">
            <v>0</v>
          </cell>
          <cell r="AB14">
            <v>0</v>
          </cell>
        </row>
        <row r="15">
          <cell r="A15">
            <v>2</v>
          </cell>
          <cell r="B15" t="str">
            <v>Branco</v>
          </cell>
          <cell r="O15">
            <v>0</v>
          </cell>
          <cell r="AA15">
            <v>0</v>
          </cell>
          <cell r="AB15">
            <v>0</v>
          </cell>
        </row>
        <row r="16">
          <cell r="A16">
            <v>3</v>
          </cell>
          <cell r="B16" t="str">
            <v>Branco</v>
          </cell>
          <cell r="O16">
            <v>0</v>
          </cell>
          <cell r="AA16">
            <v>0</v>
          </cell>
          <cell r="AB16">
            <v>0</v>
          </cell>
        </row>
        <row r="17">
          <cell r="A17">
            <v>4</v>
          </cell>
          <cell r="B17" t="str">
            <v>Branco</v>
          </cell>
          <cell r="O17">
            <v>0</v>
          </cell>
          <cell r="AA17">
            <v>0</v>
          </cell>
          <cell r="AB17">
            <v>0</v>
          </cell>
        </row>
        <row r="18">
          <cell r="A18">
            <v>5</v>
          </cell>
          <cell r="B18" t="str">
            <v>Branco</v>
          </cell>
          <cell r="O18">
            <v>0</v>
          </cell>
          <cell r="AA18">
            <v>0</v>
          </cell>
          <cell r="AB18">
            <v>0</v>
          </cell>
        </row>
        <row r="19">
          <cell r="A19">
            <v>6</v>
          </cell>
          <cell r="B19" t="str">
            <v>Branco</v>
          </cell>
          <cell r="O19">
            <v>0</v>
          </cell>
          <cell r="AA19">
            <v>0</v>
          </cell>
          <cell r="AB19">
            <v>0</v>
          </cell>
        </row>
        <row r="20">
          <cell r="A20">
            <v>7</v>
          </cell>
          <cell r="B20" t="str">
            <v>Branco</v>
          </cell>
          <cell r="O20">
            <v>0</v>
          </cell>
          <cell r="AA20">
            <v>0</v>
          </cell>
          <cell r="AB20">
            <v>0</v>
          </cell>
        </row>
        <row r="21">
          <cell r="A21">
            <v>8</v>
          </cell>
          <cell r="B21" t="str">
            <v>Branco</v>
          </cell>
          <cell r="O21">
            <v>0</v>
          </cell>
          <cell r="AA21">
            <v>0</v>
          </cell>
          <cell r="AB21">
            <v>0</v>
          </cell>
        </row>
        <row r="22">
          <cell r="A22">
            <v>9</v>
          </cell>
          <cell r="B22" t="str">
            <v>Branco</v>
          </cell>
          <cell r="O22">
            <v>0</v>
          </cell>
          <cell r="AA22">
            <v>0</v>
          </cell>
          <cell r="AB22">
            <v>0</v>
          </cell>
        </row>
        <row r="23">
          <cell r="A23">
            <v>10</v>
          </cell>
          <cell r="B23" t="str">
            <v>Branco</v>
          </cell>
          <cell r="O23">
            <v>0</v>
          </cell>
          <cell r="AA23">
            <v>0</v>
          </cell>
          <cell r="AB23">
            <v>0</v>
          </cell>
        </row>
        <row r="24">
          <cell r="B24" t="str">
            <v>TR$</v>
          </cell>
          <cell r="O24">
            <v>920939.10762942105</v>
          </cell>
          <cell r="AA24">
            <v>0</v>
          </cell>
          <cell r="AB24">
            <v>0</v>
          </cell>
        </row>
      </sheetData>
      <sheetData sheetId="11">
        <row r="3">
          <cell r="A3" t="b">
            <v>0</v>
          </cell>
        </row>
        <row r="7">
          <cell r="O7" t="str">
            <v>Nº MEDIÇÃO</v>
          </cell>
        </row>
        <row r="9">
          <cell r="A9" t="b">
            <v>1</v>
          </cell>
        </row>
        <row r="13">
          <cell r="AB13">
            <v>1</v>
          </cell>
          <cell r="AC13">
            <v>2</v>
          </cell>
          <cell r="AD13">
            <v>3</v>
          </cell>
          <cell r="AE13">
            <v>4</v>
          </cell>
          <cell r="AF13">
            <v>5</v>
          </cell>
          <cell r="AG13">
            <v>6</v>
          </cell>
          <cell r="AH13">
            <v>7</v>
          </cell>
          <cell r="AI13">
            <v>8</v>
          </cell>
          <cell r="AJ13">
            <v>9</v>
          </cell>
          <cell r="AK13">
            <v>10</v>
          </cell>
          <cell r="AL13">
            <v>11</v>
          </cell>
          <cell r="AM13">
            <v>12</v>
          </cell>
        </row>
      </sheetData>
      <sheetData sheetId="12">
        <row r="7">
          <cell r="O7">
            <v>920939.10762942117</v>
          </cell>
        </row>
        <row r="26">
          <cell r="AC26">
            <v>0</v>
          </cell>
          <cell r="AD26">
            <v>0</v>
          </cell>
        </row>
        <row r="27">
          <cell r="AC27">
            <v>0</v>
          </cell>
          <cell r="AD27">
            <v>0</v>
          </cell>
        </row>
      </sheetData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9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5">
    <pageSetUpPr fitToPage="1"/>
  </sheetPr>
  <dimension ref="A1:AN162"/>
  <sheetViews>
    <sheetView showGridLines="0" zoomScale="80" zoomScaleNormal="80" zoomScaleSheetLayoutView="90" workbookViewId="0">
      <pane xSplit="19" ySplit="15" topLeftCell="T16" activePane="bottomRight" state="frozen"/>
      <selection activeCell="L1" sqref="L1"/>
      <selection pane="topRight" activeCell="T1" sqref="T1"/>
      <selection pane="bottomLeft" activeCell="L16" sqref="L16"/>
      <selection pane="bottomRight" activeCell="R2" sqref="R2"/>
    </sheetView>
  </sheetViews>
  <sheetFormatPr defaultRowHeight="12.75" x14ac:dyDescent="0.2"/>
  <cols>
    <col min="1" max="1" width="5.5703125" hidden="1" customWidth="1"/>
    <col min="2" max="2" width="10.42578125" hidden="1" customWidth="1"/>
    <col min="3" max="3" width="5.5703125" hidden="1" customWidth="1"/>
    <col min="4" max="4" width="12.85546875" hidden="1" customWidth="1"/>
    <col min="5" max="5" width="8.7109375" hidden="1" customWidth="1"/>
    <col min="6" max="6" width="12.42578125" hidden="1" customWidth="1"/>
    <col min="7" max="7" width="14.5703125" hidden="1" customWidth="1"/>
    <col min="8" max="8" width="11.28515625" hidden="1" customWidth="1"/>
    <col min="9" max="9" width="13.42578125" hidden="1" customWidth="1"/>
    <col min="10" max="10" width="7.28515625" hidden="1" customWidth="1"/>
    <col min="11" max="11" width="7.5703125" hidden="1" customWidth="1"/>
    <col min="12" max="12" width="3.7109375" customWidth="1"/>
    <col min="13" max="14" width="8.7109375" customWidth="1"/>
    <col min="15" max="15" width="12.7109375" customWidth="1"/>
    <col min="16" max="17" width="15.7109375" customWidth="1"/>
    <col min="18" max="18" width="65.7109375" customWidth="1"/>
    <col min="19" max="19" width="10.7109375" customWidth="1"/>
    <col min="20" max="21" width="14.7109375" customWidth="1"/>
    <col min="22" max="22" width="10.7109375" customWidth="1"/>
    <col min="23" max="23" width="14.7109375" customWidth="1"/>
    <col min="24" max="24" width="15.7109375" customWidth="1"/>
    <col min="25" max="25" width="3.7109375" customWidth="1"/>
    <col min="26" max="26" width="3.7109375" hidden="1" customWidth="1"/>
    <col min="27" max="28" width="14.7109375" hidden="1" customWidth="1"/>
    <col min="29" max="29" width="15.7109375" customWidth="1"/>
    <col min="30" max="31" width="9.140625" hidden="1" customWidth="1"/>
    <col min="32" max="32" width="15.5703125" hidden="1" customWidth="1"/>
    <col min="33" max="33" width="15.7109375" customWidth="1"/>
    <col min="35" max="35" width="1.7109375" customWidth="1"/>
    <col min="36" max="36" width="14.7109375" customWidth="1"/>
    <col min="37" max="37" width="1.7109375" customWidth="1"/>
    <col min="38" max="38" width="14.7109375" customWidth="1"/>
    <col min="39" max="40" width="15.7109375" customWidth="1"/>
  </cols>
  <sheetData>
    <row r="1" spans="1:40" ht="18" x14ac:dyDescent="0.2">
      <c r="M1" s="1"/>
      <c r="N1" s="1"/>
      <c r="R1" s="2" t="s">
        <v>0</v>
      </c>
      <c r="T1" s="2"/>
      <c r="X1" s="3" t="s">
        <v>1</v>
      </c>
      <c r="Y1" s="4"/>
      <c r="Z1" s="4"/>
      <c r="AA1" s="4"/>
      <c r="AB1" s="4"/>
    </row>
    <row r="2" spans="1:40" ht="15" x14ac:dyDescent="0.2"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R2" s="5" t="str">
        <f>IF(TIPOORCAMENTO="licitado","Orçamento Licitado","Orçamento Base para Licitação")&amp;" - "&amp;import.recurso</f>
        <v>Orçamento Base para Licitação - OGU</v>
      </c>
      <c r="X2" s="6" t="s">
        <v>8</v>
      </c>
      <c r="Y2" s="7"/>
      <c r="Z2" s="7"/>
      <c r="AA2" s="7"/>
      <c r="AB2" s="7"/>
    </row>
    <row r="3" spans="1:40" x14ac:dyDescent="0.2">
      <c r="H3" s="8"/>
      <c r="R3" s="9"/>
    </row>
    <row r="4" spans="1:40" x14ac:dyDescent="0.2">
      <c r="A4" t="s">
        <v>9</v>
      </c>
      <c r="F4" t="s">
        <v>10</v>
      </c>
      <c r="G4" t="s">
        <v>11</v>
      </c>
      <c r="H4" t="s">
        <v>12</v>
      </c>
      <c r="I4" s="10">
        <v>0</v>
      </c>
      <c r="O4" s="133" t="s">
        <v>13</v>
      </c>
      <c r="P4" s="133"/>
      <c r="Q4" s="11" t="s">
        <v>14</v>
      </c>
      <c r="R4" s="11" t="s">
        <v>15</v>
      </c>
      <c r="S4" s="133" t="s">
        <v>16</v>
      </c>
      <c r="T4" s="133"/>
      <c r="U4" s="133"/>
      <c r="V4" s="133"/>
      <c r="W4" s="133"/>
      <c r="X4" s="133"/>
      <c r="Y4" s="12"/>
      <c r="Z4" s="12"/>
      <c r="AA4" s="12"/>
      <c r="AB4" s="12"/>
    </row>
    <row r="5" spans="1:40" ht="12.75" customHeight="1" x14ac:dyDescent="0.2">
      <c r="A5" s="4">
        <f ca="1">MAX($C$15:$C$145)</f>
        <v>4</v>
      </c>
      <c r="B5" s="4"/>
      <c r="C5" s="4"/>
      <c r="F5" s="10">
        <f>IF(BDI.Opcao="DESONERADO",[1]BDI!$S$30,[1]BDI!$S$29)</f>
        <v>0.2223</v>
      </c>
      <c r="G5" s="10">
        <f>IF(BDI.Opcao="DESONERADO",[1]BDI!$S$70,[1]BDI!$S$69)</f>
        <v>0</v>
      </c>
      <c r="H5" s="10">
        <f>IF(BDI.Opcao="DESONERADO",[1]BDI!$S$110,[1]BDI!$S$109)</f>
        <v>0</v>
      </c>
      <c r="O5" s="130">
        <f>Import.CR</f>
        <v>0</v>
      </c>
      <c r="P5" s="130"/>
      <c r="Q5" s="13">
        <f>Import.SICONV</f>
        <v>0</v>
      </c>
      <c r="R5" s="14" t="str">
        <f>Import.Proponente</f>
        <v>MUNICÍPIO DE LARANJAL</v>
      </c>
      <c r="S5" s="130" t="str">
        <f>Import.Apelido</f>
        <v xml:space="preserve">REFORMA E AMPLIAÇÃO GINASIO </v>
      </c>
      <c r="T5" s="130"/>
      <c r="U5" s="130"/>
      <c r="V5" s="130"/>
      <c r="W5" s="130"/>
      <c r="X5" s="130"/>
      <c r="Y5" s="15"/>
      <c r="Z5" s="15"/>
      <c r="AA5" s="15"/>
      <c r="AB5" s="15"/>
      <c r="AE5" s="134" t="s">
        <v>17</v>
      </c>
      <c r="AF5" s="134"/>
    </row>
    <row r="6" spans="1:40" ht="5.0999999999999996" customHeight="1" x14ac:dyDescent="0.2">
      <c r="A6" s="4"/>
      <c r="B6" s="4"/>
      <c r="C6" s="4"/>
      <c r="H6" s="8"/>
      <c r="O6" s="16"/>
      <c r="P6" s="16"/>
      <c r="Q6" s="17"/>
      <c r="R6" s="17"/>
      <c r="S6" s="16"/>
      <c r="T6" s="16"/>
      <c r="U6" s="16"/>
      <c r="V6" s="16"/>
      <c r="W6" s="16"/>
      <c r="X6" s="16"/>
      <c r="Y6" s="15"/>
      <c r="Z6" s="15"/>
      <c r="AA6" s="15"/>
      <c r="AB6" s="15"/>
      <c r="AC6" s="18"/>
      <c r="AE6" s="19"/>
      <c r="AF6" s="20"/>
    </row>
    <row r="7" spans="1:40" ht="12.75" customHeight="1" x14ac:dyDescent="0.2">
      <c r="H7" s="8"/>
      <c r="O7" s="133" t="s">
        <v>18</v>
      </c>
      <c r="P7" s="133"/>
      <c r="Q7" s="11" t="s">
        <v>19</v>
      </c>
      <c r="R7" s="11" t="str">
        <f>IF(TIPOORCAMENTO="Licitado","NOME DA EMPRESA","DESCRIÇÃO DO LOTE")</f>
        <v>DESCRIÇÃO DO LOTE</v>
      </c>
      <c r="S7" s="135" t="str">
        <f>IF(TIPOORCAMENTO="Licitado","REGIME DE EXECUÇÃO","MUNICÍPIO / UF")</f>
        <v>MUNICÍPIO / UF</v>
      </c>
      <c r="T7" s="135"/>
      <c r="U7" s="135"/>
      <c r="V7" s="21" t="str">
        <f>IF(TIPOORCAMENTO="Licitado","","BDI 1")</f>
        <v>BDI 1</v>
      </c>
      <c r="W7" s="21" t="str">
        <f>IF(TIPOORCAMENTO="Licitado","","BDI 2")</f>
        <v>BDI 2</v>
      </c>
      <c r="X7" s="22" t="str">
        <f>IF(TIPOORCAMENTO="Licitado","Nº CTEF","BDI 3")</f>
        <v>BDI 3</v>
      </c>
      <c r="Y7" s="21"/>
      <c r="Z7" s="21"/>
      <c r="AE7" s="19" t="s">
        <v>20</v>
      </c>
      <c r="AF7" s="20" t="b">
        <v>0</v>
      </c>
      <c r="AJ7" s="126" t="s">
        <v>21</v>
      </c>
      <c r="AL7" s="127" t="s">
        <v>22</v>
      </c>
    </row>
    <row r="8" spans="1:40" ht="12.75" customHeight="1" x14ac:dyDescent="0.2">
      <c r="A8" s="4"/>
      <c r="B8" s="4"/>
      <c r="C8" s="4"/>
      <c r="F8" s="128" t="e">
        <f ca="1">IF(LEN(INFO("release"))&gt;5,"'Referência "&amp;Excel_BuiltIn_Database&amp;".xls'#Banco.$a5:$a$65536","'[Referência "&amp;Excel_BuiltIn_Database&amp;".xls]Banco'!$a5:$a$65536")</f>
        <v>#VALUE!</v>
      </c>
      <c r="G8" s="128"/>
      <c r="H8" s="128"/>
      <c r="I8" s="128"/>
      <c r="J8" s="128"/>
      <c r="K8" s="128"/>
      <c r="L8" s="129" t="s">
        <v>23</v>
      </c>
      <c r="O8" s="130" t="e">
        <f ca="1">IF(ISERROR(INDIRECT($F$9)),"(N/D: 'Referência "&amp;Excel_BuiltIn_Database&amp;".xls)",INDIRECT($F$9))</f>
        <v>#VALUE!</v>
      </c>
      <c r="P8" s="130"/>
      <c r="Q8" s="23" t="e">
        <f ca="1">TEXT(Import.DataBase,"mm-aa")&amp;IF(DESONERACAO="Sim"," (DES.)"," (N DES.)")</f>
        <v>#VALUE!</v>
      </c>
      <c r="R8" s="14" t="str">
        <f>IF(TIPOORCAMENTO="Licitado",Import.empresa,Import.DescLote)</f>
        <v xml:space="preserve">REFORMA E AMPLIAÇÃO GINASIO </v>
      </c>
      <c r="S8" s="131" t="str">
        <f>IF(TIPOORCAMENTO="Licitado",Import.RegimeExecução,Import.Município)</f>
        <v>LARANJAL/PR</v>
      </c>
      <c r="T8" s="131"/>
      <c r="U8" s="131"/>
      <c r="V8" s="24" t="str">
        <f>IF(TIPOORCAMENTO="Licitado","",TEXT(F5,"0,00%"))</f>
        <v>22,23%</v>
      </c>
      <c r="W8" s="24" t="str">
        <f>IF(TIPOORCAMENTO="Licitado","",TEXT(G5,"0,00%"))</f>
        <v>0,00%</v>
      </c>
      <c r="X8" s="25" t="str">
        <f>IF(TIPOORCAMENTO="Licitado",Import.CTEF,TEXT(H5,"0,00%"))</f>
        <v>0,00%</v>
      </c>
      <c r="Y8" s="129" t="s">
        <v>24</v>
      </c>
      <c r="Z8" s="129" t="s">
        <v>25</v>
      </c>
      <c r="AA8" s="26"/>
      <c r="AB8" s="26"/>
      <c r="AE8" s="19" t="s">
        <v>26</v>
      </c>
      <c r="AF8" s="20" t="b">
        <v>0</v>
      </c>
      <c r="AJ8" s="126"/>
      <c r="AL8" s="127"/>
    </row>
    <row r="9" spans="1:40" ht="12.75" customHeight="1" x14ac:dyDescent="0.2">
      <c r="F9" s="128" t="e">
        <f ca="1">IF(LEN(INFO("release"))&gt;5,"'Referência "&amp;Excel_BuiltIn_Database&amp;".xls'#Banco.$d$3","'[Referência "&amp;Excel_BuiltIn_Database&amp;".xls]Banco'!$d$3")</f>
        <v>#VALUE!</v>
      </c>
      <c r="G9" s="128"/>
      <c r="H9" s="128"/>
      <c r="I9" s="128"/>
      <c r="J9" s="128"/>
      <c r="K9" s="128"/>
      <c r="L9" s="129"/>
      <c r="Y9" s="129"/>
      <c r="Z9" s="129"/>
      <c r="AE9" s="19" t="s">
        <v>27</v>
      </c>
      <c r="AF9" s="20" t="b">
        <v>0</v>
      </c>
      <c r="AJ9" s="126"/>
      <c r="AL9" s="127"/>
    </row>
    <row r="10" spans="1:40" x14ac:dyDescent="0.2">
      <c r="G10" s="8"/>
      <c r="H10" s="8"/>
      <c r="L10" s="129"/>
      <c r="Y10" s="129"/>
      <c r="Z10" s="129"/>
      <c r="AC10" s="27" t="s">
        <v>28</v>
      </c>
      <c r="AE10" s="19" t="s">
        <v>29</v>
      </c>
      <c r="AF10" s="20" t="b">
        <v>0</v>
      </c>
      <c r="AJ10" s="126"/>
      <c r="AL10" s="127"/>
    </row>
    <row r="11" spans="1:40" x14ac:dyDescent="0.2">
      <c r="G11" s="8"/>
      <c r="H11" s="28"/>
      <c r="L11" s="129"/>
      <c r="Y11" s="129"/>
      <c r="Z11" s="129"/>
      <c r="AC11" s="29" t="str">
        <f ca="1">IF(COUNTIF($AC$15:OFFSET($AC$145,-1,0),"DESCRIÇÃO")+COUNTIF($AC$15:OFFSET($AC$145,-1,0),"UNIDADE")+COUNTIF($AC$15:OFFSET($AC$145,-1,0),"SEM VALOR")&gt;0,"NÃO OK","OK")</f>
        <v>OK</v>
      </c>
      <c r="AE11" s="19" t="s">
        <v>30</v>
      </c>
      <c r="AF11" s="20" t="b">
        <v>0</v>
      </c>
      <c r="AJ11" s="126"/>
      <c r="AL11" s="127"/>
    </row>
    <row r="12" spans="1:40" x14ac:dyDescent="0.2">
      <c r="G12" s="8"/>
      <c r="H12" s="8"/>
      <c r="L12" s="129"/>
      <c r="Y12" s="129"/>
      <c r="Z12" s="129"/>
      <c r="AA12" s="132" t="s">
        <v>31</v>
      </c>
      <c r="AB12" s="132"/>
      <c r="AJ12" s="30" t="s">
        <v>32</v>
      </c>
      <c r="AL12" s="31" t="s">
        <v>32</v>
      </c>
    </row>
    <row r="13" spans="1:40" ht="35.1" customHeight="1" x14ac:dyDescent="0.2">
      <c r="A13" s="32" t="s">
        <v>33</v>
      </c>
      <c r="B13" s="32" t="s">
        <v>34</v>
      </c>
      <c r="C13" s="32" t="s">
        <v>35</v>
      </c>
      <c r="D13" s="32" t="s">
        <v>36</v>
      </c>
      <c r="E13" s="32" t="s">
        <v>37</v>
      </c>
      <c r="F13" s="32" t="s">
        <v>38</v>
      </c>
      <c r="G13" s="32" t="s">
        <v>39</v>
      </c>
      <c r="H13" s="32" t="s">
        <v>40</v>
      </c>
      <c r="I13" s="32" t="s">
        <v>41</v>
      </c>
      <c r="J13" s="32" t="s">
        <v>42</v>
      </c>
      <c r="K13" s="32" t="s">
        <v>43</v>
      </c>
      <c r="L13" s="30" t="s">
        <v>32</v>
      </c>
      <c r="M13" s="32" t="s">
        <v>44</v>
      </c>
      <c r="N13" s="33" t="s">
        <v>45</v>
      </c>
      <c r="O13" s="32" t="s">
        <v>46</v>
      </c>
      <c r="P13" s="32" t="s">
        <v>47</v>
      </c>
      <c r="Q13" s="32" t="s">
        <v>48</v>
      </c>
      <c r="R13" s="32" t="s">
        <v>49</v>
      </c>
      <c r="S13" s="34" t="s">
        <v>50</v>
      </c>
      <c r="T13" s="32" t="s">
        <v>20</v>
      </c>
      <c r="U13" s="32" t="str">
        <f>IF(TIPOORCAMENTO="Licitado","","Custo Unitário (sem BDI) (R$)")</f>
        <v>Custo Unitário (sem BDI) (R$)</v>
      </c>
      <c r="V13" s="32" t="str">
        <f>IF(TIPOORCAMENTO="Licitado","","BDI
(%)")</f>
        <v>BDI
(%)</v>
      </c>
      <c r="W13" s="32" t="s">
        <v>51</v>
      </c>
      <c r="X13" s="32" t="s">
        <v>52</v>
      </c>
      <c r="Y13" s="30" t="s">
        <v>32</v>
      </c>
      <c r="Z13" s="30" t="s">
        <v>32</v>
      </c>
      <c r="AA13" s="35" t="s">
        <v>53</v>
      </c>
      <c r="AB13" s="36" t="s">
        <v>54</v>
      </c>
      <c r="AC13" s="32" t="s">
        <v>55</v>
      </c>
      <c r="AD13" s="37" t="s">
        <v>56</v>
      </c>
      <c r="AE13" s="37" t="s">
        <v>57</v>
      </c>
      <c r="AF13" s="37" t="s">
        <v>58</v>
      </c>
      <c r="AG13" s="38" t="s">
        <v>59</v>
      </c>
      <c r="AH13" s="39" t="str">
        <f>IF(TIPOORCAMENTO="LICITADO","Valor BDI Edital","Valor BDI")</f>
        <v>Valor BDI</v>
      </c>
      <c r="AJ13" s="40" t="s">
        <v>20</v>
      </c>
      <c r="AL13" s="40" t="s">
        <v>51</v>
      </c>
      <c r="AM13" s="38" t="s">
        <v>60</v>
      </c>
      <c r="AN13" s="41" t="s">
        <v>61</v>
      </c>
    </row>
    <row r="14" spans="1:40" hidden="1" x14ac:dyDescent="0.2">
      <c r="A14" t="str">
        <f>CHOOSE(1+LOG(1+2*(ORÇAMENTO.Nivel="Meta")+4*(ORÇAMENTO.Nivel="Nível 2")+8*(ORÇAMENTO.Nivel="Nível 3")+16*(ORÇAMENTO.Nivel="Nível 4")+32*(ORÇAMENTO.Nivel="Serviço"),2),0,1,2,3,4,"S")</f>
        <v>S</v>
      </c>
      <c r="B14" t="str">
        <f ca="1">IF(OR(C14="s",C14=0),OFFSET(B14,-1,0),C14)</f>
        <v>Save Nivel</v>
      </c>
      <c r="C14" t="str">
        <f ca="1">IF(OFFSET(C14,-1,0)="L",1,IF(OFFSET(C14,-1,0)=1,2,IF(OR(A14="s",A14=0),"S",IF(AND(OFFSET(C14,-1,0)=2,A14=4),3,IF(AND(OR(OFFSET(C14,-1,0)="s",OFFSET(C14,-1,0)=0),A14&lt;&gt;"s",A14&gt;OFFSET(B14,-1,0)),OFFSET(B14,-1,0),A14)))))</f>
        <v>S</v>
      </c>
      <c r="D14">
        <f ca="1">IF(OR(C14="S",C14=0),0,IF(ISERROR(K14),J14,SMALL(J14:K14,1)))</f>
        <v>0</v>
      </c>
      <c r="E14" t="str">
        <f ca="1">IF($C14=1,OFFSET(E14,-1,0)+MAX(1,COUNTIF([1]QCI!$A$13:$A$24,OFFSET(ORÇAMENTO!E14,-1,0))),OFFSET(E14,-1,0))</f>
        <v>n1</v>
      </c>
      <c r="F14" t="str">
        <f ca="1">IF($C14=1,0,IF($C14=2,OFFSET(F14,-1,0)+1,OFFSET(F14,-1,0)))</f>
        <v>n2</v>
      </c>
      <c r="G14" t="str">
        <f ca="1">IF(AND($C14&lt;=2,$C14&lt;&gt;0),0,IF($C14=3,OFFSET(G14,-1,0)+1,OFFSET(G14,-1,0)))</f>
        <v>n3</v>
      </c>
      <c r="H14" t="str">
        <f ca="1">IF(AND($C14&lt;=3,$C14&lt;&gt;0),0,IF($C14=4,OFFSET(H14,-1,0)+1,OFFSET(H14,-1,0)))</f>
        <v>n4</v>
      </c>
      <c r="I14" t="e">
        <f ca="1">IF(AND($C14&lt;=4,$C14&lt;&gt;0),0,IF(AND($C14="S",$X14&gt;0),OFFSET(I14,-1,0)+1,OFFSET(I14,-1,0)))</f>
        <v>#VALUE!</v>
      </c>
      <c r="J14">
        <f ca="1">IF(OR($C14="S",$C14=0),0,MATCH(0,OFFSET($D14,1,$C14,ROW($C$145)-ROW($C14)),0))</f>
        <v>0</v>
      </c>
      <c r="K14">
        <f ca="1">IF(OR($C14="S",$C14=0),0,MATCH(OFFSET($D14,0,$C14)+IF($C14&lt;&gt;1,1,COUNTIF([1]QCI!$A$13:$A$24,ORÇAMENTO!E14)),OFFSET($D14,1,$C14,ROW($C$145)-ROW($C14)),0))</f>
        <v>0</v>
      </c>
      <c r="L14" s="42" t="e">
        <f ca="1">IF(OR($X14&gt;0,$C14=1,$C14=2,$C14=3,$C14=4),"F","")</f>
        <v>#VALUE!</v>
      </c>
      <c r="M14" s="43" t="s">
        <v>7</v>
      </c>
      <c r="N14" s="44" t="str">
        <f ca="1">CHOOSE(1+LOG(1+2*(C14=1)+4*(C14=2)+8*(C14=3)+16*(C14=4)+32*(C14="S"),2),"","Meta","Nível 2","Nível 3","Nível 4","Serviço")</f>
        <v>Serviço</v>
      </c>
      <c r="O14" s="45" t="e">
        <f ca="1">IF(OR($C14=0,$L14=""),"-",CONCATENATE(E14&amp;".",IF(AND($A$5&gt;=2,$C14&gt;=2),F14&amp;".",""),IF(AND($A$5&gt;=3,$C14&gt;=3),G14&amp;".",""),IF(AND($A$5&gt;=4,$C14&gt;=4),H14&amp;".",""),IF($C14="S",I14&amp;".","")))</f>
        <v>#VALUE!</v>
      </c>
      <c r="P14" s="46" t="s">
        <v>62</v>
      </c>
      <c r="Q14" s="47"/>
      <c r="R14" s="48" t="e">
        <f ca="1">IF($C14="S",REFERENCIA.Descricao,"(digite a descrição aqui)")</f>
        <v>#VALUE!</v>
      </c>
      <c r="S14" s="49" t="str">
        <f ca="1">REFERENCIA.Unidade</f>
        <v>-</v>
      </c>
      <c r="T14" s="50" t="e">
        <f ca="1">OFFSET([1]CÁLCULO!H$15,ROW($T14)-ROW(T$15),0)</f>
        <v>#VALUE!</v>
      </c>
      <c r="U14" s="51"/>
      <c r="V14" s="52" t="s">
        <v>10</v>
      </c>
      <c r="W14" s="50">
        <f ca="1">IF($C14="S",ROUND(IF(TIPOORCAMENTO="Proposto",ORÇAMENTO.CustoUnitario*(1+$AH14),ORÇAMENTO.PrecoUnitarioLicitado),15-13*$AF$10),0)</f>
        <v>0</v>
      </c>
      <c r="X14" s="53" t="e">
        <f ca="1">IF($C14="S",VTOTAL1,IF($C14=0,0,ROUND(SomaAgrup,15-13*$AF$11)))</f>
        <v>#VALUE!</v>
      </c>
      <c r="Y14" s="54" t="s">
        <v>63</v>
      </c>
      <c r="Z14" t="e">
        <f ca="1">IF(AND($C14="S",$X14&gt;0),IF(ISBLANK($Y14),"RA",LEFT($Y14,2)),"")</f>
        <v>#VALUE!</v>
      </c>
      <c r="AA14" s="55" t="e">
        <f ca="1">IF($C14="S",IF($Z14="CP",$X14,IF($Z14="RA",(($X14)*[1]QCI!$AA$3),0)),SomaAgrup)</f>
        <v>#VALUE!</v>
      </c>
      <c r="AB14" s="56" t="e">
        <f ca="1">IF($C14="S",IF($Z14="OU",ROUND($X14,2),0),SomaAgrup)</f>
        <v>#VALUE!</v>
      </c>
      <c r="AC14" s="57" t="e">
        <f ca="1">IF($N14="","",IF(ORÇAMENTO.Descricao="","DESCRIÇÃO",IF(AND($C14="S",ORÇAMENTO.Unidade=""),"UNIDADE",IF($X14&lt;0,"VALOR NEGATIVO",IF(OR(AND(TIPOORCAMENTO="Proposto",$AG14&lt;&gt;"",$AG14&gt;0,ORÇAMENTO.CustoUnitario&gt;$AG14),AND(TIPOORCAMENTO="LICITADO",ORÇAMENTO.PrecoUnitarioLicitado&gt;$AN14)),"ACIMA REF.","")))))</f>
        <v>#VALUE!</v>
      </c>
      <c r="AD14" t="str">
        <f ca="1">IF(C14&lt;=CRONO.NivelExibicao,MAX($AD$15:OFFSET(AD14,-1,0))+IF($C14&lt;&gt;1,1,MAX(1,COUNTIF([1]QCI!$A$13:$A$24,OFFSET($E14,-1,0)))),"")</f>
        <v/>
      </c>
      <c r="AE14" s="4" t="b">
        <f ca="1">IF(AND($C14="S",ORÇAMENTO.CodBarra&lt;&gt;""),IF(ORÇAMENTO.Fonte="",ORÇAMENTO.CodBarra,CONCATENATE(ORÇAMENTO.Fonte," ",ORÇAMENTO.CodBarra)))</f>
        <v>0</v>
      </c>
      <c r="AF14" s="58" t="e">
        <f ca="1">IF(ISERROR(INDIRECT(ORÇAMENTO.BancoRef)),"(abra o arquivo 'Referência "&amp;Excel_BuiltIn_Database&amp;".xls)",IF(OR($C14&lt;&gt;"S",ORÇAMENTO.CodBarra=""),"(Sem Código)",IF(ISERROR(MATCH($AE14,INDIRECT(ORÇAMENTO.BancoRef),0)),"(Código não identificado nas referências)",MATCH($AE14,INDIRECT(ORÇAMENTO.BancoRef),0))))</f>
        <v>#VALUE!</v>
      </c>
      <c r="AG14" s="59" t="e">
        <f ca="1">ROUND(IF(DESONERACAO="sim",REFERENCIA.Desonerado,REFERENCIA.NaoDesonerado),2)</f>
        <v>#VALUE!</v>
      </c>
      <c r="AH14" s="60">
        <f>ROUND(IF(ISNUMBER(ORÇAMENTO.OpcaoBDI),ORÇAMENTO.OpcaoBDI,IF(LEFT(ORÇAMENTO.OpcaoBDI,3)="BDI",HLOOKUP(ORÇAMENTO.OpcaoBDI,$F$4:$H$5,2,FALSE),0)),15-11*$AF$9)</f>
        <v>0.2223</v>
      </c>
      <c r="AJ14" s="61"/>
      <c r="AL14" s="62"/>
      <c r="AM14" s="63" t="e">
        <f t="shared" ref="AM14:AM139" ca="1" si="0">$X14</f>
        <v>#VALUE!</v>
      </c>
      <c r="AN14" s="64">
        <f>ROUND(ORÇAMENTO.CustoUnitario*(1+$AH14),2)</f>
        <v>0</v>
      </c>
    </row>
    <row r="15" spans="1:40" x14ac:dyDescent="0.2">
      <c r="A15">
        <v>0</v>
      </c>
      <c r="C15" t="s">
        <v>64</v>
      </c>
      <c r="D15">
        <f ca="1">COUNTA(OFFSET(D15,1,0):D$145)</f>
        <v>129</v>
      </c>
      <c r="E15">
        <v>0</v>
      </c>
      <c r="L15" s="42" t="s">
        <v>65</v>
      </c>
      <c r="M15" s="65" t="str">
        <f>IF(TIPOORCAMENTO="LICITADO","CTEF","LOTE")</f>
        <v>LOTE</v>
      </c>
      <c r="N15" s="65" t="str">
        <f>IF(TIPOORCAMENTO="LICITADO","CTEF","LOTE")</f>
        <v>LOTE</v>
      </c>
      <c r="O15" s="120" t="str">
        <f>Import.DescLote</f>
        <v xml:space="preserve">REFORMA E AMPLIAÇÃO GINASIO </v>
      </c>
      <c r="P15" s="120"/>
      <c r="Q15" s="120"/>
      <c r="R15" s="120"/>
      <c r="S15" s="66"/>
      <c r="T15" s="67"/>
      <c r="U15" s="67"/>
      <c r="V15" s="68"/>
      <c r="W15" s="67"/>
      <c r="X15" s="69" t="e">
        <f ca="1">SUMIF(OFFSET($C15,1,0,ROW(X145)-ROW(X15)-1),"S",OFFSET(X15,1,0,ROW(X145)-ROW(X15)-1))</f>
        <v>#VALUE!</v>
      </c>
      <c r="Y15" s="4"/>
      <c r="Z15" t="e">
        <f ca="1">IF(AND($C15="S",$X15&gt;0),LEFT($Y15,2),"")</f>
        <v>#VALUE!</v>
      </c>
      <c r="AA15" s="70" t="e">
        <f ca="1">SUMIF(OFFSET($C15,1,0,ROW(AA145)-ROW(AA15)-1),"S",OFFSET(AA15,1,0,ROW(AA145)-ROW(AA15)-1))</f>
        <v>#VALUE!</v>
      </c>
      <c r="AB15" s="71" t="e">
        <f ca="1">SUMIF(OFFSET($C15,1,0,ROW(AB145)-ROW(AB15)-1),"S",OFFSET(AB15,1,0,ROW(AB145)-ROW(AB15)-1))</f>
        <v>#VALUE!</v>
      </c>
      <c r="AC15" s="57"/>
      <c r="AG15" s="72"/>
      <c r="AH15" s="73"/>
      <c r="AJ15" s="74"/>
      <c r="AL15" s="75"/>
      <c r="AM15" s="76" t="e">
        <f t="shared" ca="1" si="0"/>
        <v>#VALUE!</v>
      </c>
      <c r="AN15" s="77"/>
    </row>
    <row r="16" spans="1:40" x14ac:dyDescent="0.2">
      <c r="A16">
        <f t="shared" ref="A16:A22" si="1">CHOOSE(1+LOG(1+2*(ORÇAMENTO.Nivel="Meta")+4*(ORÇAMENTO.Nivel="Nível 2")+8*(ORÇAMENTO.Nivel="Nível 3")+16*(ORÇAMENTO.Nivel="Nível 4")+32*(ORÇAMENTO.Nivel="Serviço"),2),0,1,2,3,4,"S")</f>
        <v>1</v>
      </c>
      <c r="B16">
        <f t="shared" ref="B16:B22" ca="1" si="2">IF(OR(C16="s",C16=0),OFFSET(B16,-1,0),C16)</f>
        <v>1</v>
      </c>
      <c r="C16">
        <f t="shared" ref="C16:C22" ca="1" si="3">IF(OFFSET(C16,-1,0)="L",1,IF(OFFSET(C16,-1,0)=1,2,IF(OR(A16="s",A16=0),"S",IF(AND(OFFSET(C16,-1,0)=2,A16=4),3,IF(AND(OR(OFFSET(C16,-1,0)="s",OFFSET(C16,-1,0)=0),A16&lt;&gt;"s",A16&gt;OFFSET(B16,-1,0)),OFFSET(B16,-1,0),A16)))))</f>
        <v>1</v>
      </c>
      <c r="D16">
        <f t="shared" ref="D16:D22" ca="1" si="4">IF(OR(C16="S",C16=0),0,IF(ISERROR(K16),J16,SMALL(J16:K16,1)))</f>
        <v>129</v>
      </c>
      <c r="E16" t="e">
        <f ca="1">IF($C16=1,OFFSET(E16,-1,0)+MAX(1,COUNTIF([1]QCI!$A$13:$A$24,OFFSET(ORÇAMENTO!E16,-1,0))),OFFSET(E16,-1,0))</f>
        <v>#VALUE!</v>
      </c>
      <c r="F16">
        <f t="shared" ref="F16:F22" ca="1" si="5">IF($C16=1,0,IF($C16=2,OFFSET(F16,-1,0)+1,OFFSET(F16,-1,0)))</f>
        <v>0</v>
      </c>
      <c r="G16">
        <f t="shared" ref="G16:G22" ca="1" si="6">IF(AND($C16&lt;=2,$C16&lt;&gt;0),0,IF($C16=3,OFFSET(G16,-1,0)+1,OFFSET(G16,-1,0)))</f>
        <v>0</v>
      </c>
      <c r="H16">
        <f t="shared" ref="H16:H22" ca="1" si="7">IF(AND($C16&lt;=3,$C16&lt;&gt;0),0,IF($C16=4,OFFSET(H16,-1,0)+1,OFFSET(H16,-1,0)))</f>
        <v>0</v>
      </c>
      <c r="I16">
        <f t="shared" ref="I16:I22" ca="1" si="8">IF(AND($C16&lt;=4,$C16&lt;&gt;0),0,IF(AND($C16="S",$X16&gt;0),OFFSET(I16,-1,0)+1,OFFSET(I16,-1,0)))</f>
        <v>0</v>
      </c>
      <c r="J16">
        <f t="shared" ref="J16:J79" ca="1" si="9">IF(OR($C16="S",$C16=0),0,MATCH(0,OFFSET($D16,1,$C16,ROW($C$145)-ROW($C16)),0))</f>
        <v>129</v>
      </c>
      <c r="K16" t="e">
        <f ca="1">IF(OR($C16="S",$C16=0),0,MATCH(OFFSET($D16,0,$C16)+IF($C16&lt;&gt;1,1,COUNTIF([1]QCI!$A$13:$A$24,ORÇAMENTO!E16)),OFFSET($D16,1,$C16,ROW($C$145)-ROW($C16)),0))</f>
        <v>#VALUE!</v>
      </c>
      <c r="L16" s="42" t="e">
        <f t="shared" ref="L16:L22" ca="1" si="10">IF(OR($X16&gt;0,$C16=1,$C16=2,$C16=3,$C16=4),"F","")</f>
        <v>#VALUE!</v>
      </c>
      <c r="M16" s="43" t="s">
        <v>3</v>
      </c>
      <c r="N16" s="44" t="str">
        <f t="shared" ref="N16:N22" ca="1" si="11">CHOOSE(1+LOG(1+2*(C16=1)+4*(C16=2)+8*(C16=3)+16*(C16=4)+32*(C16="S"),2),"","Meta","Nível 2","Nível 3","Nível 4","Serviço")</f>
        <v>Meta</v>
      </c>
      <c r="O16" s="45" t="e">
        <f t="shared" ref="O16:O22" ca="1" si="12">IF(OR($C16=0,$L16=""),"-",CONCATENATE(E16&amp;".",IF(AND($A$5&gt;=2,$C16&gt;=2),F16&amp;".",""),IF(AND($A$5&gt;=3,$C16&gt;=3),G16&amp;".",""),IF(AND($A$5&gt;=4,$C16&gt;=4),H16&amp;".",""),IF($C16="S",I16&amp;".","")))</f>
        <v>#VALUE!</v>
      </c>
      <c r="P16" s="46" t="s">
        <v>62</v>
      </c>
      <c r="Q16" s="47"/>
      <c r="R16" s="48" t="s">
        <v>66</v>
      </c>
      <c r="S16" s="49" t="s">
        <v>67</v>
      </c>
      <c r="T16" s="50" t="e">
        <f ca="1">OFFSET([1]CÁLCULO!H$15,ROW($T16)-ROW(T$15),0)</f>
        <v>#VALUE!</v>
      </c>
      <c r="U16" s="51"/>
      <c r="V16" s="52" t="s">
        <v>10</v>
      </c>
      <c r="W16" s="50">
        <f t="shared" ref="W16:W22" ca="1" si="13">IF($C16="S",ROUND(IF(TIPOORCAMENTO="Proposto",ORÇAMENTO.CustoUnitario*(1+$AH16),ORÇAMENTO.PrecoUnitarioLicitado),15-13*$AF$10),0)</f>
        <v>0</v>
      </c>
      <c r="X16" s="53" t="e">
        <f t="shared" ref="X16:X22" ca="1" si="14">IF($C16="S",VTOTAL1,IF($C16=0,0,ROUND(SomaAgrup,15-13*$AF$11)))</f>
        <v>#VALUE!</v>
      </c>
      <c r="Y16" s="54" t="s">
        <v>63</v>
      </c>
      <c r="Z16" t="e">
        <f t="shared" ref="Z16:Z22" ca="1" si="15">IF(AND($C16="S",$X16&gt;0),IF(ISBLANK($Y16),"RA",LEFT($Y16,2)),"")</f>
        <v>#VALUE!</v>
      </c>
      <c r="AA16" s="55" t="e">
        <f ca="1">IF($C16="S",IF($Z16="CP",$X16,IF($Z16="RA",(($X16)*[1]QCI!$AA$3),0)),SomaAgrup)</f>
        <v>#VALUE!</v>
      </c>
      <c r="AB16" s="56" t="e">
        <f t="shared" ref="AB16:AB22" ca="1" si="16">IF($C16="S",IF($Z16="OU",ROUND($X16,2),0),SomaAgrup)</f>
        <v>#VALUE!</v>
      </c>
      <c r="AC16" s="57" t="e">
        <f t="shared" ref="AC16:AC22" ca="1" si="17">IF($N16="","",IF(ORÇAMENTO.Descricao="","DESCRIÇÃO",IF(AND($C16="S",ORÇAMENTO.Unidade=""),"UNIDADE",IF($X16&lt;0,"VALOR NEGATIVO",IF(OR(AND(TIPOORCAMENTO="Proposto",$AG16&lt;&gt;"",$AG16&gt;0,ORÇAMENTO.CustoUnitario&gt;$AG16),AND(TIPOORCAMENTO="LICITADO",ORÇAMENTO.PrecoUnitarioLicitado&gt;$AN16)),"ACIMA REF.","")))))</f>
        <v>#VALUE!</v>
      </c>
      <c r="AD16" t="e">
        <f ca="1">IF(C16&lt;=CRONO.NivelExibicao,MAX($AD$15:OFFSET(AD16,-1,0))+IF($C16&lt;&gt;1,1,MAX(1,COUNTIF([1]QCI!$A$13:$A$24,OFFSET($E16,-1,0)))),"")</f>
        <v>#VALUE!</v>
      </c>
      <c r="AE16" s="4" t="b">
        <f t="shared" ref="AE16:AE22" ca="1" si="18">IF(AND($C16="S",ORÇAMENTO.CodBarra&lt;&gt;""),IF(ORÇAMENTO.Fonte="",ORÇAMENTO.CodBarra,CONCATENATE(ORÇAMENTO.Fonte," ",ORÇAMENTO.CodBarra)))</f>
        <v>0</v>
      </c>
      <c r="AF16" s="58" t="e">
        <f t="shared" ref="AF16:AF22" ca="1" si="19">IF(ISERROR(INDIRECT(ORÇAMENTO.BancoRef)),"(abra o arquivo 'Referência "&amp;Excel_BuiltIn_Database&amp;".xls)",IF(OR($C16&lt;&gt;"S",ORÇAMENTO.CodBarra=""),"(Sem Código)",IF(ISERROR(MATCH($AE16,INDIRECT(ORÇAMENTO.BancoRef),0)),"(Código não identificado nas referências)",MATCH($AE16,INDIRECT(ORÇAMENTO.BancoRef),0))))</f>
        <v>#VALUE!</v>
      </c>
      <c r="AG16" s="59" t="e">
        <f t="shared" ref="AG16:AG22" ca="1" si="20">ROUND(IF(DESONERACAO="sim",REFERENCIA.Desonerado,REFERENCIA.NaoDesonerado),2)</f>
        <v>#VALUE!</v>
      </c>
      <c r="AH16" s="60">
        <f t="shared" ref="AH16:AH22" si="21">ROUND(IF(ISNUMBER(ORÇAMENTO.OpcaoBDI),ORÇAMENTO.OpcaoBDI,IF(LEFT(ORÇAMENTO.OpcaoBDI,3)="BDI",HLOOKUP(ORÇAMENTO.OpcaoBDI,$F$4:$H$5,2,FALSE),0)),15-11*$AF$9)</f>
        <v>0.2223</v>
      </c>
      <c r="AJ16" s="61"/>
      <c r="AL16" s="62"/>
      <c r="AM16" s="63" t="e">
        <f t="shared" ca="1" si="0"/>
        <v>#VALUE!</v>
      </c>
      <c r="AN16" s="64">
        <f t="shared" ref="AN16:AN22" si="22">ROUND(ORÇAMENTO.CustoUnitario*(1+$AH16),2)</f>
        <v>0</v>
      </c>
    </row>
    <row r="17" spans="1:40" x14ac:dyDescent="0.2">
      <c r="A17">
        <f t="shared" si="1"/>
        <v>2</v>
      </c>
      <c r="B17">
        <f t="shared" ca="1" si="2"/>
        <v>2</v>
      </c>
      <c r="C17">
        <f t="shared" ca="1" si="3"/>
        <v>2</v>
      </c>
      <c r="D17">
        <f t="shared" ca="1" si="4"/>
        <v>28</v>
      </c>
      <c r="E17" t="e">
        <f ca="1">IF($C17=1,OFFSET(E17,-1,0)+MAX(1,COUNTIF([1]QCI!$A$13:$A$24,OFFSET(ORÇAMENTO!E17,-1,0))),OFFSET(E17,-1,0))</f>
        <v>#VALUE!</v>
      </c>
      <c r="F17">
        <f t="shared" ca="1" si="5"/>
        <v>1</v>
      </c>
      <c r="G17">
        <f t="shared" ca="1" si="6"/>
        <v>0</v>
      </c>
      <c r="H17">
        <f t="shared" ca="1" si="7"/>
        <v>0</v>
      </c>
      <c r="I17">
        <f t="shared" ca="1" si="8"/>
        <v>0</v>
      </c>
      <c r="J17">
        <f t="shared" ca="1" si="9"/>
        <v>128</v>
      </c>
      <c r="K17">
        <f ca="1">IF(OR($C17="S",$C17=0),0,MATCH(OFFSET($D17,0,$C17)+IF($C17&lt;&gt;1,1,COUNTIF([1]QCI!$A$13:$A$24,ORÇAMENTO!E17)),OFFSET($D17,1,$C17,ROW($C$145)-ROW($C17)),0))</f>
        <v>28</v>
      </c>
      <c r="L17" s="42" t="e">
        <f t="shared" ca="1" si="10"/>
        <v>#VALUE!</v>
      </c>
      <c r="M17" s="43" t="s">
        <v>4</v>
      </c>
      <c r="N17" s="44" t="str">
        <f t="shared" ca="1" si="11"/>
        <v>Nível 2</v>
      </c>
      <c r="O17" s="45" t="e">
        <f t="shared" ca="1" si="12"/>
        <v>#VALUE!</v>
      </c>
      <c r="P17" s="46" t="s">
        <v>62</v>
      </c>
      <c r="Q17" s="47"/>
      <c r="R17" s="48" t="s">
        <v>68</v>
      </c>
      <c r="S17" s="49" t="s">
        <v>67</v>
      </c>
      <c r="T17" s="50" t="e">
        <f ca="1">OFFSET([1]CÁLCULO!H$15,ROW($T17)-ROW(T$15),0)</f>
        <v>#VALUE!</v>
      </c>
      <c r="U17" s="51"/>
      <c r="V17" s="52" t="s">
        <v>10</v>
      </c>
      <c r="W17" s="50">
        <f t="shared" ca="1" si="13"/>
        <v>0</v>
      </c>
      <c r="X17" s="53" t="e">
        <f t="shared" ca="1" si="14"/>
        <v>#VALUE!</v>
      </c>
      <c r="Y17" s="54" t="s">
        <v>63</v>
      </c>
      <c r="Z17" t="e">
        <f t="shared" ca="1" si="15"/>
        <v>#VALUE!</v>
      </c>
      <c r="AA17" s="55" t="e">
        <f ca="1">IF($C17="S",IF($Z17="CP",$X17,IF($Z17="RA",(($X17)*[1]QCI!$AA$3),0)),SomaAgrup)</f>
        <v>#VALUE!</v>
      </c>
      <c r="AB17" s="56" t="e">
        <f t="shared" ca="1" si="16"/>
        <v>#VALUE!</v>
      </c>
      <c r="AC17" s="57" t="e">
        <f t="shared" ca="1" si="17"/>
        <v>#VALUE!</v>
      </c>
      <c r="AD17" t="e">
        <f ca="1">IF(C17&lt;=CRONO.NivelExibicao,MAX($AD$15:OFFSET(AD17,-1,0))+IF($C17&lt;&gt;1,1,MAX(1,COUNTIF([1]QCI!$A$13:$A$24,OFFSET($E17,-1,0)))),"")</f>
        <v>#VALUE!</v>
      </c>
      <c r="AE17" s="4" t="b">
        <f t="shared" ca="1" si="18"/>
        <v>0</v>
      </c>
      <c r="AF17" s="58" t="e">
        <f t="shared" ca="1" si="19"/>
        <v>#VALUE!</v>
      </c>
      <c r="AG17" s="59" t="e">
        <f t="shared" ca="1" si="20"/>
        <v>#VALUE!</v>
      </c>
      <c r="AH17" s="60">
        <f t="shared" si="21"/>
        <v>0.2223</v>
      </c>
      <c r="AJ17" s="61"/>
      <c r="AL17" s="62"/>
      <c r="AM17" s="63" t="e">
        <f t="shared" ca="1" si="0"/>
        <v>#VALUE!</v>
      </c>
      <c r="AN17" s="64">
        <f t="shared" si="22"/>
        <v>0</v>
      </c>
    </row>
    <row r="18" spans="1:40" x14ac:dyDescent="0.2">
      <c r="A18">
        <f t="shared" si="1"/>
        <v>3</v>
      </c>
      <c r="B18">
        <f t="shared" ca="1" si="2"/>
        <v>3</v>
      </c>
      <c r="C18">
        <f t="shared" ca="1" si="3"/>
        <v>3</v>
      </c>
      <c r="D18">
        <f t="shared" ca="1" si="4"/>
        <v>9</v>
      </c>
      <c r="E18" t="e">
        <f ca="1">IF($C18=1,OFFSET(E18,-1,0)+MAX(1,COUNTIF([1]QCI!$A$13:$A$24,OFFSET(ORÇAMENTO!E18,-1,0))),OFFSET(E18,-1,0))</f>
        <v>#VALUE!</v>
      </c>
      <c r="F18">
        <f t="shared" ca="1" si="5"/>
        <v>1</v>
      </c>
      <c r="G18">
        <f t="shared" ca="1" si="6"/>
        <v>1</v>
      </c>
      <c r="H18">
        <f t="shared" ca="1" si="7"/>
        <v>0</v>
      </c>
      <c r="I18">
        <f t="shared" ca="1" si="8"/>
        <v>0</v>
      </c>
      <c r="J18">
        <f t="shared" ca="1" si="9"/>
        <v>27</v>
      </c>
      <c r="K18">
        <f ca="1">IF(OR($C18="S",$C18=0),0,MATCH(OFFSET($D18,0,$C18)+IF($C18&lt;&gt;1,1,COUNTIF([1]QCI!$A$13:$A$24,ORÇAMENTO!E18)),OFFSET($D18,1,$C18,ROW($C$145)-ROW($C18)),0))</f>
        <v>9</v>
      </c>
      <c r="L18" s="42" t="e">
        <f t="shared" ca="1" si="10"/>
        <v>#VALUE!</v>
      </c>
      <c r="M18" s="43" t="s">
        <v>5</v>
      </c>
      <c r="N18" s="44" t="str">
        <f t="shared" ca="1" si="11"/>
        <v>Nível 3</v>
      </c>
      <c r="O18" s="45" t="e">
        <f t="shared" ca="1" si="12"/>
        <v>#VALUE!</v>
      </c>
      <c r="P18" s="46" t="s">
        <v>62</v>
      </c>
      <c r="Q18" s="47"/>
      <c r="R18" s="48" t="s">
        <v>69</v>
      </c>
      <c r="S18" s="49" t="s">
        <v>67</v>
      </c>
      <c r="T18" s="50" t="e">
        <f ca="1">OFFSET([1]CÁLCULO!H$15,ROW($T18)-ROW(T$15),0)</f>
        <v>#VALUE!</v>
      </c>
      <c r="U18" s="51"/>
      <c r="V18" s="52" t="s">
        <v>10</v>
      </c>
      <c r="W18" s="50">
        <f t="shared" ca="1" si="13"/>
        <v>0</v>
      </c>
      <c r="X18" s="53" t="e">
        <f t="shared" ca="1" si="14"/>
        <v>#VALUE!</v>
      </c>
      <c r="Y18" s="54" t="s">
        <v>63</v>
      </c>
      <c r="Z18" t="e">
        <f t="shared" ca="1" si="15"/>
        <v>#VALUE!</v>
      </c>
      <c r="AA18" s="55" t="e">
        <f ca="1">IF($C18="S",IF($Z18="CP",$X18,IF($Z18="RA",(($X18)*[1]QCI!$AA$3),0)),SomaAgrup)</f>
        <v>#VALUE!</v>
      </c>
      <c r="AB18" s="56" t="e">
        <f t="shared" ca="1" si="16"/>
        <v>#VALUE!</v>
      </c>
      <c r="AC18" s="57" t="e">
        <f t="shared" ca="1" si="17"/>
        <v>#VALUE!</v>
      </c>
      <c r="AD18" t="e">
        <f ca="1">IF(C18&lt;=CRONO.NivelExibicao,MAX($AD$15:OFFSET(AD18,-1,0))+IF($C18&lt;&gt;1,1,MAX(1,COUNTIF([1]QCI!$A$13:$A$24,OFFSET($E18,-1,0)))),"")</f>
        <v>#VALUE!</v>
      </c>
      <c r="AE18" s="4" t="b">
        <f t="shared" ca="1" si="18"/>
        <v>0</v>
      </c>
      <c r="AF18" s="58" t="e">
        <f t="shared" ca="1" si="19"/>
        <v>#VALUE!</v>
      </c>
      <c r="AG18" s="59" t="e">
        <f t="shared" ca="1" si="20"/>
        <v>#VALUE!</v>
      </c>
      <c r="AH18" s="60">
        <f t="shared" si="21"/>
        <v>0.2223</v>
      </c>
      <c r="AJ18" s="61"/>
      <c r="AL18" s="62"/>
      <c r="AM18" s="63" t="e">
        <f t="shared" ca="1" si="0"/>
        <v>#VALUE!</v>
      </c>
      <c r="AN18" s="64">
        <f t="shared" si="22"/>
        <v>0</v>
      </c>
    </row>
    <row r="19" spans="1:40" ht="38.25" x14ac:dyDescent="0.2">
      <c r="A19" t="str">
        <f t="shared" si="1"/>
        <v>S</v>
      </c>
      <c r="B19">
        <f t="shared" ca="1" si="2"/>
        <v>3</v>
      </c>
      <c r="C19" t="str">
        <f t="shared" ca="1" si="3"/>
        <v>S</v>
      </c>
      <c r="D19">
        <f t="shared" ca="1" si="4"/>
        <v>0</v>
      </c>
      <c r="E19" t="e">
        <f ca="1">IF($C19=1,OFFSET(E19,-1,0)+MAX(1,COUNTIF([1]QCI!$A$13:$A$24,OFFSET(ORÇAMENTO!E19,-1,0))),OFFSET(E19,-1,0))</f>
        <v>#VALUE!</v>
      </c>
      <c r="F19">
        <f t="shared" ca="1" si="5"/>
        <v>1</v>
      </c>
      <c r="G19">
        <f t="shared" ca="1" si="6"/>
        <v>1</v>
      </c>
      <c r="H19">
        <f t="shared" ca="1" si="7"/>
        <v>0</v>
      </c>
      <c r="I19" t="e">
        <f t="shared" ca="1" si="8"/>
        <v>#VALUE!</v>
      </c>
      <c r="J19">
        <f t="shared" ca="1" si="9"/>
        <v>0</v>
      </c>
      <c r="K19">
        <f ca="1">IF(OR($C19="S",$C19=0),0,MATCH(OFFSET($D19,0,$C19)+IF($C19&lt;&gt;1,1,COUNTIF([1]QCI!$A$13:$A$24,ORÇAMENTO!E19)),OFFSET($D19,1,$C19,ROW($C$145)-ROW($C19)),0))</f>
        <v>0</v>
      </c>
      <c r="L19" s="42" t="e">
        <f t="shared" ca="1" si="10"/>
        <v>#VALUE!</v>
      </c>
      <c r="M19" s="43" t="s">
        <v>7</v>
      </c>
      <c r="N19" s="44" t="str">
        <f t="shared" ca="1" si="11"/>
        <v>Serviço</v>
      </c>
      <c r="O19" s="45" t="e">
        <f t="shared" ca="1" si="12"/>
        <v>#VALUE!</v>
      </c>
      <c r="P19" s="46" t="s">
        <v>70</v>
      </c>
      <c r="Q19" s="47">
        <v>4813</v>
      </c>
      <c r="R19" s="48" t="s">
        <v>71</v>
      </c>
      <c r="S19" s="49" t="s">
        <v>72</v>
      </c>
      <c r="T19" s="50" t="e">
        <f ca="1">OFFSET([1]CÁLCULO!H$15,ROW($T19)-ROW(T$15),0)</f>
        <v>#VALUE!</v>
      </c>
      <c r="U19" s="51">
        <v>320</v>
      </c>
      <c r="V19" s="52" t="s">
        <v>10</v>
      </c>
      <c r="W19" s="50">
        <f t="shared" ca="1" si="13"/>
        <v>391.13600000000002</v>
      </c>
      <c r="X19" s="53" t="e">
        <f t="shared" ca="1" si="14"/>
        <v>#VALUE!</v>
      </c>
      <c r="Y19" s="54" t="s">
        <v>63</v>
      </c>
      <c r="Z19" t="e">
        <f t="shared" ca="1" si="15"/>
        <v>#VALUE!</v>
      </c>
      <c r="AA19" s="55" t="e">
        <f ca="1">IF($C19="S",IF($Z19="CP",$X19,IF($Z19="RA",(($X19)*[1]QCI!$AA$3),0)),SomaAgrup)</f>
        <v>#VALUE!</v>
      </c>
      <c r="AB19" s="56" t="e">
        <f t="shared" ca="1" si="16"/>
        <v>#VALUE!</v>
      </c>
      <c r="AC19" s="57" t="e">
        <f t="shared" ca="1" si="17"/>
        <v>#VALUE!</v>
      </c>
      <c r="AD19" t="str">
        <f ca="1">IF(C19&lt;=CRONO.NivelExibicao,MAX($AD$15:OFFSET(AD19,-1,0))+IF($C19&lt;&gt;1,1,MAX(1,COUNTIF([1]QCI!$A$13:$A$24,OFFSET($E19,-1,0)))),"")</f>
        <v/>
      </c>
      <c r="AE19" s="4" t="str">
        <f t="shared" ca="1" si="18"/>
        <v>SINAPI-I 4813</v>
      </c>
      <c r="AF19" s="58" t="e">
        <f t="shared" ca="1" si="19"/>
        <v>#VALUE!</v>
      </c>
      <c r="AG19" s="59" t="e">
        <f t="shared" ca="1" si="20"/>
        <v>#VALUE!</v>
      </c>
      <c r="AH19" s="60">
        <f t="shared" si="21"/>
        <v>0.2223</v>
      </c>
      <c r="AJ19" s="61">
        <v>4.5</v>
      </c>
      <c r="AL19" s="62">
        <v>390.35333329999997</v>
      </c>
      <c r="AM19" s="63" t="e">
        <f t="shared" ca="1" si="0"/>
        <v>#VALUE!</v>
      </c>
      <c r="AN19" s="64">
        <f t="shared" si="22"/>
        <v>391.14</v>
      </c>
    </row>
    <row r="20" spans="1:40" ht="25.5" x14ac:dyDescent="0.2">
      <c r="A20" t="str">
        <f t="shared" si="1"/>
        <v>S</v>
      </c>
      <c r="B20">
        <f t="shared" ca="1" si="2"/>
        <v>3</v>
      </c>
      <c r="C20" t="str">
        <f t="shared" ca="1" si="3"/>
        <v>S</v>
      </c>
      <c r="D20">
        <f t="shared" ca="1" si="4"/>
        <v>0</v>
      </c>
      <c r="E20" t="e">
        <f ca="1">IF($C20=1,OFFSET(E20,-1,0)+MAX(1,COUNTIF([1]QCI!$A$13:$A$24,OFFSET(ORÇAMENTO!E20,-1,0))),OFFSET(E20,-1,0))</f>
        <v>#VALUE!</v>
      </c>
      <c r="F20">
        <f t="shared" ca="1" si="5"/>
        <v>1</v>
      </c>
      <c r="G20">
        <f t="shared" ca="1" si="6"/>
        <v>1</v>
      </c>
      <c r="H20">
        <f t="shared" ca="1" si="7"/>
        <v>0</v>
      </c>
      <c r="I20" t="e">
        <f t="shared" ca="1" si="8"/>
        <v>#VALUE!</v>
      </c>
      <c r="J20">
        <f t="shared" ca="1" si="9"/>
        <v>0</v>
      </c>
      <c r="K20">
        <f ca="1">IF(OR($C20="S",$C20=0),0,MATCH(OFFSET($D20,0,$C20)+IF($C20&lt;&gt;1,1,COUNTIF([1]QCI!$A$13:$A$24,ORÇAMENTO!E20)),OFFSET($D20,1,$C20,ROW($C$145)-ROW($C20)),0))</f>
        <v>0</v>
      </c>
      <c r="L20" s="42" t="e">
        <f t="shared" ca="1" si="10"/>
        <v>#VALUE!</v>
      </c>
      <c r="M20" s="43" t="s">
        <v>7</v>
      </c>
      <c r="N20" s="44" t="str">
        <f t="shared" ca="1" si="11"/>
        <v>Serviço</v>
      </c>
      <c r="O20" s="45" t="e">
        <f t="shared" ca="1" si="12"/>
        <v>#VALUE!</v>
      </c>
      <c r="P20" s="46" t="s">
        <v>62</v>
      </c>
      <c r="Q20" s="47" t="s">
        <v>73</v>
      </c>
      <c r="R20" s="48" t="s">
        <v>74</v>
      </c>
      <c r="S20" s="49" t="s">
        <v>75</v>
      </c>
      <c r="T20" s="50" t="e">
        <f ca="1">OFFSET([1]CÁLCULO!H$15,ROW($T20)-ROW(T$15),0)</f>
        <v>#VALUE!</v>
      </c>
      <c r="U20" s="51" t="e">
        <f ca="1">AG20</f>
        <v>#VALUE!</v>
      </c>
      <c r="V20" s="52" t="s">
        <v>10</v>
      </c>
      <c r="W20" s="50" t="e">
        <f t="shared" ca="1" si="13"/>
        <v>#VALUE!</v>
      </c>
      <c r="X20" s="53" t="e">
        <f t="shared" ca="1" si="14"/>
        <v>#VALUE!</v>
      </c>
      <c r="Y20" s="54" t="s">
        <v>63</v>
      </c>
      <c r="Z20" t="e">
        <f t="shared" ca="1" si="15"/>
        <v>#VALUE!</v>
      </c>
      <c r="AA20" s="55" t="e">
        <f ca="1">IF($C20="S",IF($Z20="CP",$X20,IF($Z20="RA",(($X20)*[1]QCI!$AA$3),0)),SomaAgrup)</f>
        <v>#VALUE!</v>
      </c>
      <c r="AB20" s="56" t="e">
        <f t="shared" ca="1" si="16"/>
        <v>#VALUE!</v>
      </c>
      <c r="AC20" s="57" t="e">
        <f t="shared" ca="1" si="17"/>
        <v>#VALUE!</v>
      </c>
      <c r="AD20" t="str">
        <f ca="1">IF(C20&lt;=CRONO.NivelExibicao,MAX($AD$15:OFFSET(AD20,-1,0))+IF($C20&lt;&gt;1,1,MAX(1,COUNTIF([1]QCI!$A$13:$A$24,OFFSET($E20,-1,0)))),"")</f>
        <v/>
      </c>
      <c r="AE20" s="4" t="str">
        <f t="shared" ca="1" si="18"/>
        <v>SINAPI 93208</v>
      </c>
      <c r="AF20" s="58" t="e">
        <f t="shared" ca="1" si="19"/>
        <v>#VALUE!</v>
      </c>
      <c r="AG20" s="59" t="e">
        <f t="shared" ca="1" si="20"/>
        <v>#VALUE!</v>
      </c>
      <c r="AH20" s="60">
        <f t="shared" si="21"/>
        <v>0.2223</v>
      </c>
      <c r="AJ20" s="61">
        <v>6</v>
      </c>
      <c r="AL20" s="62">
        <v>25.263268159999999</v>
      </c>
      <c r="AM20" s="63" t="e">
        <f t="shared" ca="1" si="0"/>
        <v>#VALUE!</v>
      </c>
      <c r="AN20" s="64" t="e">
        <f t="shared" ca="1" si="22"/>
        <v>#VALUE!</v>
      </c>
    </row>
    <row r="21" spans="1:40" ht="25.5" x14ac:dyDescent="0.2">
      <c r="A21" t="str">
        <f t="shared" si="1"/>
        <v>S</v>
      </c>
      <c r="B21">
        <f t="shared" ca="1" si="2"/>
        <v>3</v>
      </c>
      <c r="C21" t="str">
        <f t="shared" ca="1" si="3"/>
        <v>S</v>
      </c>
      <c r="D21">
        <f t="shared" ca="1" si="4"/>
        <v>0</v>
      </c>
      <c r="E21" t="e">
        <f ca="1">IF($C21=1,OFFSET(E21,-1,0)+MAX(1,COUNTIF([1]QCI!$A$13:$A$24,OFFSET(ORÇAMENTO!E21,-1,0))),OFFSET(E21,-1,0))</f>
        <v>#VALUE!</v>
      </c>
      <c r="F21">
        <f t="shared" ca="1" si="5"/>
        <v>1</v>
      </c>
      <c r="G21">
        <f t="shared" ca="1" si="6"/>
        <v>1</v>
      </c>
      <c r="H21">
        <f t="shared" ca="1" si="7"/>
        <v>0</v>
      </c>
      <c r="I21" t="e">
        <f t="shared" ca="1" si="8"/>
        <v>#VALUE!</v>
      </c>
      <c r="J21">
        <f t="shared" ca="1" si="9"/>
        <v>0</v>
      </c>
      <c r="K21">
        <f ca="1">IF(OR($C21="S",$C21=0),0,MATCH(OFFSET($D21,0,$C21)+IF($C21&lt;&gt;1,1,COUNTIF([1]QCI!$A$13:$A$24,ORÇAMENTO!E21)),OFFSET($D21,1,$C21,ROW($C$145)-ROW($C21)),0))</f>
        <v>0</v>
      </c>
      <c r="L21" s="42" t="e">
        <f t="shared" ca="1" si="10"/>
        <v>#VALUE!</v>
      </c>
      <c r="M21" s="43" t="s">
        <v>7</v>
      </c>
      <c r="N21" s="44" t="str">
        <f t="shared" ca="1" si="11"/>
        <v>Serviço</v>
      </c>
      <c r="O21" s="45" t="e">
        <f t="shared" ca="1" si="12"/>
        <v>#VALUE!</v>
      </c>
      <c r="P21" s="46" t="s">
        <v>62</v>
      </c>
      <c r="Q21" s="47" t="s">
        <v>76</v>
      </c>
      <c r="R21" s="48" t="s">
        <v>77</v>
      </c>
      <c r="S21" s="49" t="s">
        <v>78</v>
      </c>
      <c r="T21" s="50" t="e">
        <f ca="1">OFFSET([1]CÁLCULO!H$15,ROW($T21)-ROW(T$15),0)</f>
        <v>#VALUE!</v>
      </c>
      <c r="U21" s="51" t="e">
        <f t="shared" ref="U21:U99" ca="1" si="23">AG21</f>
        <v>#VALUE!</v>
      </c>
      <c r="V21" s="52" t="s">
        <v>10</v>
      </c>
      <c r="W21" s="50" t="e">
        <f t="shared" ca="1" si="13"/>
        <v>#VALUE!</v>
      </c>
      <c r="X21" s="53" t="e">
        <f t="shared" ca="1" si="14"/>
        <v>#VALUE!</v>
      </c>
      <c r="Y21" s="54" t="s">
        <v>63</v>
      </c>
      <c r="Z21" t="e">
        <f t="shared" ca="1" si="15"/>
        <v>#VALUE!</v>
      </c>
      <c r="AA21" s="55" t="e">
        <f ca="1">IF($C21="S",IF($Z21="CP",$X21,IF($Z21="RA",(($X21)*[1]QCI!$AA$3),0)),SomaAgrup)</f>
        <v>#VALUE!</v>
      </c>
      <c r="AB21" s="56" t="e">
        <f t="shared" ca="1" si="16"/>
        <v>#VALUE!</v>
      </c>
      <c r="AC21" s="57" t="e">
        <f t="shared" ca="1" si="17"/>
        <v>#VALUE!</v>
      </c>
      <c r="AD21" t="str">
        <f ca="1">IF(C21&lt;=CRONO.NivelExibicao,MAX($AD$15:OFFSET(AD21,-1,0))+IF($C21&lt;&gt;1,1,MAX(1,COUNTIF([1]QCI!$A$13:$A$24,OFFSET($E21,-1,0)))),"")</f>
        <v/>
      </c>
      <c r="AE21" s="4" t="str">
        <f t="shared" ca="1" si="18"/>
        <v>SINAPI 97622</v>
      </c>
      <c r="AF21" s="58" t="e">
        <f t="shared" ca="1" si="19"/>
        <v>#VALUE!</v>
      </c>
      <c r="AG21" s="59" t="e">
        <f t="shared" ca="1" si="20"/>
        <v>#VALUE!</v>
      </c>
      <c r="AH21" s="60">
        <f t="shared" si="21"/>
        <v>0.2223</v>
      </c>
      <c r="AJ21" s="61">
        <v>28.03</v>
      </c>
      <c r="AL21" s="62"/>
      <c r="AM21" s="63" t="e">
        <f t="shared" ca="1" si="0"/>
        <v>#VALUE!</v>
      </c>
      <c r="AN21" s="64" t="e">
        <f t="shared" ca="1" si="22"/>
        <v>#VALUE!</v>
      </c>
    </row>
    <row r="22" spans="1:40" ht="25.5" x14ac:dyDescent="0.2">
      <c r="A22" t="str">
        <f t="shared" si="1"/>
        <v>S</v>
      </c>
      <c r="B22">
        <f t="shared" ca="1" si="2"/>
        <v>3</v>
      </c>
      <c r="C22" t="str">
        <f t="shared" ca="1" si="3"/>
        <v>S</v>
      </c>
      <c r="D22">
        <f t="shared" ca="1" si="4"/>
        <v>0</v>
      </c>
      <c r="E22" t="e">
        <f ca="1">IF($C22=1,OFFSET(E22,-1,0)+MAX(1,COUNTIF([1]QCI!$A$13:$A$24,OFFSET(ORÇAMENTO!E22,-1,0))),OFFSET(E22,-1,0))</f>
        <v>#VALUE!</v>
      </c>
      <c r="F22">
        <f t="shared" ca="1" si="5"/>
        <v>1</v>
      </c>
      <c r="G22">
        <f t="shared" ca="1" si="6"/>
        <v>1</v>
      </c>
      <c r="H22">
        <f t="shared" ca="1" si="7"/>
        <v>0</v>
      </c>
      <c r="I22" t="e">
        <f t="shared" ca="1" si="8"/>
        <v>#VALUE!</v>
      </c>
      <c r="J22">
        <f t="shared" ca="1" si="9"/>
        <v>0</v>
      </c>
      <c r="K22">
        <f ca="1">IF(OR($C22="S",$C22=0),0,MATCH(OFFSET($D22,0,$C22)+IF($C22&lt;&gt;1,1,COUNTIF([1]QCI!$A$13:$A$24,ORÇAMENTO!E22)),OFFSET($D22,1,$C22,ROW($C$145)-ROW($C22)),0))</f>
        <v>0</v>
      </c>
      <c r="L22" s="42" t="e">
        <f t="shared" ca="1" si="10"/>
        <v>#VALUE!</v>
      </c>
      <c r="M22" s="43" t="s">
        <v>7</v>
      </c>
      <c r="N22" s="44" t="str">
        <f t="shared" ca="1" si="11"/>
        <v>Serviço</v>
      </c>
      <c r="O22" s="45" t="e">
        <f t="shared" ca="1" si="12"/>
        <v>#VALUE!</v>
      </c>
      <c r="P22" s="46" t="s">
        <v>62</v>
      </c>
      <c r="Q22" s="47" t="s">
        <v>79</v>
      </c>
      <c r="R22" s="48" t="s">
        <v>80</v>
      </c>
      <c r="S22" s="49" t="s">
        <v>78</v>
      </c>
      <c r="T22" s="50" t="e">
        <f ca="1">OFFSET([1]CÁLCULO!H$15,ROW($T22)-ROW(T$15),0)</f>
        <v>#VALUE!</v>
      </c>
      <c r="U22" s="51" t="e">
        <f t="shared" ca="1" si="23"/>
        <v>#VALUE!</v>
      </c>
      <c r="V22" s="52" t="s">
        <v>10</v>
      </c>
      <c r="W22" s="50" t="e">
        <f t="shared" ca="1" si="13"/>
        <v>#VALUE!</v>
      </c>
      <c r="X22" s="53" t="e">
        <f t="shared" ca="1" si="14"/>
        <v>#VALUE!</v>
      </c>
      <c r="Y22" s="54" t="s">
        <v>63</v>
      </c>
      <c r="Z22" t="e">
        <f t="shared" ca="1" si="15"/>
        <v>#VALUE!</v>
      </c>
      <c r="AA22" s="55" t="e">
        <f ca="1">IF($C22="S",IF($Z22="CP",$X22,IF($Z22="RA",(($X22)*[1]QCI!$AA$3),0)),SomaAgrup)</f>
        <v>#VALUE!</v>
      </c>
      <c r="AB22" s="56" t="e">
        <f t="shared" ca="1" si="16"/>
        <v>#VALUE!</v>
      </c>
      <c r="AC22" s="57" t="e">
        <f t="shared" ca="1" si="17"/>
        <v>#VALUE!</v>
      </c>
      <c r="AD22" t="str">
        <f ca="1">IF(C22&lt;=CRONO.NivelExibicao,MAX($AD$15:OFFSET(AD22,-1,0))+IF($C22&lt;&gt;1,1,MAX(1,COUNTIF([1]QCI!$A$13:$A$24,OFFSET($E22,-1,0)))),"")</f>
        <v/>
      </c>
      <c r="AE22" s="4" t="str">
        <f t="shared" ca="1" si="18"/>
        <v>SINAPI 97628</v>
      </c>
      <c r="AF22" s="58" t="e">
        <f t="shared" ca="1" si="19"/>
        <v>#VALUE!</v>
      </c>
      <c r="AG22" s="59" t="e">
        <f t="shared" ca="1" si="20"/>
        <v>#VALUE!</v>
      </c>
      <c r="AH22" s="60">
        <f t="shared" si="21"/>
        <v>0.2223</v>
      </c>
      <c r="AJ22" s="61">
        <v>21.15</v>
      </c>
      <c r="AL22" s="62"/>
      <c r="AM22" s="63" t="e">
        <f t="shared" ca="1" si="0"/>
        <v>#VALUE!</v>
      </c>
      <c r="AN22" s="64" t="e">
        <f t="shared" ca="1" si="22"/>
        <v>#VALUE!</v>
      </c>
    </row>
    <row r="23" spans="1:40" ht="25.5" x14ac:dyDescent="0.2">
      <c r="A23" t="str">
        <f t="shared" ref="A23:A44" si="24">CHOOSE(1+LOG(1+2*(ORÇAMENTO.Nivel="Meta")+4*(ORÇAMENTO.Nivel="Nível 2")+8*(ORÇAMENTO.Nivel="Nível 3")+16*(ORÇAMENTO.Nivel="Nível 4")+32*(ORÇAMENTO.Nivel="Serviço"),2),0,1,2,3,4,"S")</f>
        <v>S</v>
      </c>
      <c r="B23">
        <f ca="1">IF(OR(C23="s",C23=0),OFFSET(B23,-1,0),C23)</f>
        <v>3</v>
      </c>
      <c r="C23" t="str">
        <f ca="1">IF(OFFSET(C23,-1,0)="L",1,IF(OFFSET(C23,-1,0)=1,2,IF(OR(A23="s",A23=0),"S",IF(AND(OFFSET(C23,-1,0)=2,A23=4),3,IF(AND(OR(OFFSET(C23,-1,0)="s",OFFSET(C23,-1,0)=0),A23&lt;&gt;"s",A23&gt;OFFSET(B23,-1,0)),OFFSET(B23,-1,0),A23)))))</f>
        <v>S</v>
      </c>
      <c r="D23">
        <f ca="1">IF(OR(C23="S",C23=0),0,IF(ISERROR(K23),J23,SMALL(J23:K23,1)))</f>
        <v>0</v>
      </c>
      <c r="E23" t="e">
        <f ca="1">IF($C23=1,OFFSET(E23,-1,0)+MAX(1,COUNTIF([1]QCI!$A$13:$A$24,OFFSET(ORÇAMENTO!E23,-1,0))),OFFSET(E23,-1,0))</f>
        <v>#VALUE!</v>
      </c>
      <c r="F23">
        <f ca="1">IF($C23=1,0,IF($C23=2,OFFSET(F23,-1,0)+1,OFFSET(F23,-1,0)))</f>
        <v>1</v>
      </c>
      <c r="G23">
        <f ca="1">IF(AND($C23&lt;=2,$C23&lt;&gt;0),0,IF($C23=3,OFFSET(G23,-1,0)+1,OFFSET(G23,-1,0)))</f>
        <v>1</v>
      </c>
      <c r="H23">
        <f ca="1">IF(AND($C23&lt;=3,$C23&lt;&gt;0),0,IF($C23=4,OFFSET(H23,-1,0)+1,OFFSET(H23,-1,0)))</f>
        <v>0</v>
      </c>
      <c r="I23" t="e">
        <f ca="1">IF(AND($C23&lt;=4,$C23&lt;&gt;0),0,IF(AND($C23="S",$X23&gt;0),OFFSET(I23,-1,0)+1,OFFSET(I23,-1,0)))</f>
        <v>#VALUE!</v>
      </c>
      <c r="J23">
        <f t="shared" ca="1" si="9"/>
        <v>0</v>
      </c>
      <c r="K23">
        <f ca="1">IF(OR($C23="S",$C23=0),0,MATCH(OFFSET($D23,0,$C23)+IF($C23&lt;&gt;1,1,COUNTIF([1]QCI!$A$13:$A$24,ORÇAMENTO!E23)),OFFSET($D23,1,$C23,ROW($C$145)-ROW($C23)),0))</f>
        <v>0</v>
      </c>
      <c r="L23" s="42" t="e">
        <f ca="1">IF(OR($X23&gt;0,$C23=1,$C23=2,$C23=3,$C23=4),"F","")</f>
        <v>#VALUE!</v>
      </c>
      <c r="M23" s="43" t="s">
        <v>7</v>
      </c>
      <c r="N23" s="44" t="str">
        <f ca="1">CHOOSE(1+LOG(1+2*(C23=1)+4*(C23=2)+8*(C23=3)+16*(C23=4)+32*(C23="S"),2),"","Meta","Nível 2","Nível 3","Nível 4","Serviço")</f>
        <v>Serviço</v>
      </c>
      <c r="O23" s="45" t="e">
        <f ca="1">IF(OR($C23=0,$L23=""),"-",CONCATENATE(E23&amp;".",IF(AND($A$5&gt;=2,$C23&gt;=2),F23&amp;".",""),IF(AND($A$5&gt;=3,$C23&gt;=3),G23&amp;".",""),IF(AND($A$5&gt;=4,$C23&gt;=4),H23&amp;".",""),IF($C23="S",I23&amp;".","")))</f>
        <v>#VALUE!</v>
      </c>
      <c r="P23" s="46" t="s">
        <v>62</v>
      </c>
      <c r="Q23" s="47" t="s">
        <v>81</v>
      </c>
      <c r="R23" s="48" t="s">
        <v>82</v>
      </c>
      <c r="S23" s="49" t="s">
        <v>75</v>
      </c>
      <c r="T23" s="50" t="e">
        <f ca="1">OFFSET([1]CÁLCULO!H$15,ROW($T23)-ROW(T$15),0)</f>
        <v>#VALUE!</v>
      </c>
      <c r="U23" s="51" t="e">
        <f t="shared" ca="1" si="23"/>
        <v>#VALUE!</v>
      </c>
      <c r="V23" s="52" t="s">
        <v>10</v>
      </c>
      <c r="W23" s="50" t="e">
        <f ca="1">IF($C23="S",ROUND(IF(TIPOORCAMENTO="Proposto",ORÇAMENTO.CustoUnitario*(1+$AH23),ORÇAMENTO.PrecoUnitarioLicitado),15-13*$AF$10),0)</f>
        <v>#VALUE!</v>
      </c>
      <c r="X23" s="53" t="e">
        <f t="shared" ref="X23:X44" ca="1" si="25">IF($C23="S",VTOTAL1,IF($C23=0,0,ROUND(SomaAgrup,15-13*$AF$11)))</f>
        <v>#VALUE!</v>
      </c>
      <c r="Y23" s="54" t="s">
        <v>63</v>
      </c>
      <c r="Z23" t="e">
        <f ca="1">IF(AND($C23="S",$X23&gt;0),IF(ISBLANK($Y23),"RA",LEFT($Y23,2)),"")</f>
        <v>#VALUE!</v>
      </c>
      <c r="AA23" s="55" t="e">
        <f ca="1">IF($C23="S",IF($Z23="CP",$X23,IF($Z23="RA",(($X23)*[1]QCI!$AA$3),0)),SomaAgrup)</f>
        <v>#VALUE!</v>
      </c>
      <c r="AB23" s="56" t="e">
        <f t="shared" ref="AB23:AB44" ca="1" si="26">IF($C23="S",IF($Z23="OU",ROUND($X23,2),0),SomaAgrup)</f>
        <v>#VALUE!</v>
      </c>
      <c r="AC23" s="57" t="e">
        <f ca="1">IF($N23="","",IF(ORÇAMENTO.Descricao="","DESCRIÇÃO",IF(AND($C23="S",ORÇAMENTO.Unidade=""),"UNIDADE",IF($X23&lt;0,"VALOR NEGATIVO",IF(OR(AND(TIPOORCAMENTO="Proposto",$AG23&lt;&gt;"",$AG23&gt;0,ORÇAMENTO.CustoUnitario&gt;$AG23),AND(TIPOORCAMENTO="LICITADO",ORÇAMENTO.PrecoUnitarioLicitado&gt;$AN23)),"ACIMA REF.","")))))</f>
        <v>#VALUE!</v>
      </c>
      <c r="AD23" t="str">
        <f ca="1">IF(C23&lt;=CRONO.NivelExibicao,MAX($AD$15:OFFSET(AD23,-1,0))+IF($C23&lt;&gt;1,1,MAX(1,COUNTIF([1]QCI!$A$13:$A$24,OFFSET($E23,-1,0)))),"")</f>
        <v/>
      </c>
      <c r="AE23" s="4" t="str">
        <f ca="1">IF(AND($C23="S",ORÇAMENTO.CodBarra&lt;&gt;""),IF(ORÇAMENTO.Fonte="",ORÇAMENTO.CodBarra,CONCATENATE(ORÇAMENTO.Fonte," ",ORÇAMENTO.CodBarra)))</f>
        <v>SINAPI 97644</v>
      </c>
      <c r="AF23" s="58" t="e">
        <f ca="1">IF(ISERROR(INDIRECT(ORÇAMENTO.BancoRef)),"(abra o arquivo 'Referência "&amp;Excel_BuiltIn_Database&amp;".xls)",IF(OR($C23&lt;&gt;"S",ORÇAMENTO.CodBarra=""),"(Sem Código)",IF(ISERROR(MATCH($AE23,INDIRECT(ORÇAMENTO.BancoRef),0)),"(Código não identificado nas referências)",MATCH($AE23,INDIRECT(ORÇAMENTO.BancoRef),0))))</f>
        <v>#VALUE!</v>
      </c>
      <c r="AG23" s="59" t="e">
        <f ca="1">ROUND(IF(DESONERACAO="sim",REFERENCIA.Desonerado,REFERENCIA.NaoDesonerado),2)</f>
        <v>#VALUE!</v>
      </c>
      <c r="AH23" s="60">
        <f t="shared" ref="AH23:AH44" si="27">ROUND(IF(ISNUMBER(ORÇAMENTO.OpcaoBDI),ORÇAMENTO.OpcaoBDI,IF(LEFT(ORÇAMENTO.OpcaoBDI,3)="BDI",HLOOKUP(ORÇAMENTO.OpcaoBDI,$F$4:$H$5,2,FALSE),0)),15-11*$AF$9)</f>
        <v>0.2223</v>
      </c>
      <c r="AJ23" s="61">
        <v>17.010000000000002</v>
      </c>
      <c r="AL23" s="62"/>
      <c r="AM23" s="63" t="e">
        <f t="shared" ca="1" si="0"/>
        <v>#VALUE!</v>
      </c>
      <c r="AN23" s="64" t="e">
        <f t="shared" ref="AN23:AN44" ca="1" si="28">ROUND(ORÇAMENTO.CustoUnitario*(1+$AH23),2)</f>
        <v>#VALUE!</v>
      </c>
    </row>
    <row r="24" spans="1:40" ht="25.5" x14ac:dyDescent="0.2">
      <c r="A24" t="str">
        <f t="shared" si="24"/>
        <v>S</v>
      </c>
      <c r="B24">
        <f ca="1">IF(OR(C24="s",C24=0),OFFSET(B24,-1,0),C24)</f>
        <v>3</v>
      </c>
      <c r="C24" t="str">
        <f ca="1">IF(OFFSET(C24,-1,0)="L",1,IF(OFFSET(C24,-1,0)=1,2,IF(OR(A24="s",A24=0),"S",IF(AND(OFFSET(C24,-1,0)=2,A24=4),3,IF(AND(OR(OFFSET(C24,-1,0)="s",OFFSET(C24,-1,0)=0),A24&lt;&gt;"s",A24&gt;OFFSET(B24,-1,0)),OFFSET(B24,-1,0),A24)))))</f>
        <v>S</v>
      </c>
      <c r="D24">
        <f ca="1">IF(OR(C24="S",C24=0),0,IF(ISERROR(K24),J24,SMALL(J24:K24,1)))</f>
        <v>0</v>
      </c>
      <c r="E24" t="e">
        <f ca="1">IF($C24=1,OFFSET(E24,-1,0)+MAX(1,COUNTIF([1]QCI!$A$13:$A$24,OFFSET(ORÇAMENTO!E24,-1,0))),OFFSET(E24,-1,0))</f>
        <v>#VALUE!</v>
      </c>
      <c r="F24">
        <f ca="1">IF($C24=1,0,IF($C24=2,OFFSET(F24,-1,0)+1,OFFSET(F24,-1,0)))</f>
        <v>1</v>
      </c>
      <c r="G24">
        <f ca="1">IF(AND($C24&lt;=2,$C24&lt;&gt;0),0,IF($C24=3,OFFSET(G24,-1,0)+1,OFFSET(G24,-1,0)))</f>
        <v>1</v>
      </c>
      <c r="H24">
        <f ca="1">IF(AND($C24&lt;=3,$C24&lt;&gt;0),0,IF($C24=4,OFFSET(H24,-1,0)+1,OFFSET(H24,-1,0)))</f>
        <v>0</v>
      </c>
      <c r="I24" t="e">
        <f ca="1">IF(AND($C24&lt;=4,$C24&lt;&gt;0),0,IF(AND($C24="S",$X24&gt;0),OFFSET(I24,-1,0)+1,OFFSET(I24,-1,0)))</f>
        <v>#VALUE!</v>
      </c>
      <c r="J24">
        <f t="shared" ca="1" si="9"/>
        <v>0</v>
      </c>
      <c r="K24">
        <f ca="1">IF(OR($C24="S",$C24=0),0,MATCH(OFFSET($D24,0,$C24)+IF($C24&lt;&gt;1,1,COUNTIF([1]QCI!$A$13:$A$24,ORÇAMENTO!E24)),OFFSET($D24,1,$C24,ROW($C$145)-ROW($C24)),0))</f>
        <v>0</v>
      </c>
      <c r="L24" s="42" t="e">
        <f ca="1">IF(OR($X24&gt;0,$C24=1,$C24=2,$C24=3,$C24=4),"F","")</f>
        <v>#VALUE!</v>
      </c>
      <c r="M24" s="43" t="s">
        <v>7</v>
      </c>
      <c r="N24" s="44" t="str">
        <f ca="1">CHOOSE(1+LOG(1+2*(C24=1)+4*(C24=2)+8*(C24=3)+16*(C24=4)+32*(C24="S"),2),"","Meta","Nível 2","Nível 3","Nível 4","Serviço")</f>
        <v>Serviço</v>
      </c>
      <c r="O24" s="45" t="e">
        <f ca="1">IF(OR($C24=0,$L24=""),"-",CONCATENATE(E24&amp;".",IF(AND($A$5&gt;=2,$C24&gt;=2),F24&amp;".",""),IF(AND($A$5&gt;=3,$C24&gt;=3),G24&amp;".",""),IF(AND($A$5&gt;=4,$C24&gt;=4),H24&amp;".",""),IF($C24="S",I24&amp;".","")))</f>
        <v>#VALUE!</v>
      </c>
      <c r="P24" s="46" t="s">
        <v>62</v>
      </c>
      <c r="Q24" s="47" t="s">
        <v>83</v>
      </c>
      <c r="R24" s="48" t="s">
        <v>84</v>
      </c>
      <c r="S24" s="49" t="s">
        <v>85</v>
      </c>
      <c r="T24" s="50" t="e">
        <f ca="1">OFFSET([1]CÁLCULO!H$15,ROW($T24)-ROW(T$15),0)</f>
        <v>#VALUE!</v>
      </c>
      <c r="U24" s="51" t="e">
        <f t="shared" ca="1" si="23"/>
        <v>#VALUE!</v>
      </c>
      <c r="V24" s="52" t="s">
        <v>10</v>
      </c>
      <c r="W24" s="50" t="e">
        <f ca="1">IF($C24="S",ROUND(IF(TIPOORCAMENTO="Proposto",ORÇAMENTO.CustoUnitario*(1+$AH24),ORÇAMENTO.PrecoUnitarioLicitado),15-13*$AF$10),0)</f>
        <v>#VALUE!</v>
      </c>
      <c r="X24" s="53" t="e">
        <f t="shared" ca="1" si="25"/>
        <v>#VALUE!</v>
      </c>
      <c r="Y24" s="54" t="s">
        <v>63</v>
      </c>
      <c r="Z24" t="e">
        <f ca="1">IF(AND($C24="S",$X24&gt;0),IF(ISBLANK($Y24),"RA",LEFT($Y24,2)),"")</f>
        <v>#VALUE!</v>
      </c>
      <c r="AA24" s="55" t="e">
        <f ca="1">IF($C24="S",IF($Z24="CP",$X24,IF($Z24="RA",(($X24)*[1]QCI!$AA$3),0)),SomaAgrup)</f>
        <v>#VALUE!</v>
      </c>
      <c r="AB24" s="56" t="e">
        <f t="shared" ca="1" si="26"/>
        <v>#VALUE!</v>
      </c>
      <c r="AC24" s="57" t="e">
        <f ca="1">IF($N24="","",IF(ORÇAMENTO.Descricao="","DESCRIÇÃO",IF(AND($C24="S",ORÇAMENTO.Unidade=""),"UNIDADE",IF($X24&lt;0,"VALOR NEGATIVO",IF(OR(AND(TIPOORCAMENTO="Proposto",$AG24&lt;&gt;"",$AG24&gt;0,ORÇAMENTO.CustoUnitario&gt;$AG24),AND(TIPOORCAMENTO="LICITADO",ORÇAMENTO.PrecoUnitarioLicitado&gt;$AN24)),"ACIMA REF.","")))))</f>
        <v>#VALUE!</v>
      </c>
      <c r="AD24" t="str">
        <f ca="1">IF(C24&lt;=CRONO.NivelExibicao,MAX($AD$15:OFFSET(AD24,-1,0))+IF($C24&lt;&gt;1,1,MAX(1,COUNTIF([1]QCI!$A$13:$A$24,OFFSET($E24,-1,0)))),"")</f>
        <v/>
      </c>
      <c r="AE24" s="4" t="str">
        <f ca="1">IF(AND($C24="S",ORÇAMENTO.CodBarra&lt;&gt;""),IF(ORÇAMENTO.Fonte="",ORÇAMENTO.CodBarra,CONCATENATE(ORÇAMENTO.Fonte," ",ORÇAMENTO.CodBarra)))</f>
        <v>SINAPI 97663</v>
      </c>
      <c r="AF24" s="58" t="e">
        <f ca="1">IF(ISERROR(INDIRECT(ORÇAMENTO.BancoRef)),"(abra o arquivo 'Referência "&amp;Excel_BuiltIn_Database&amp;".xls)",IF(OR($C24&lt;&gt;"S",ORÇAMENTO.CodBarra=""),"(Sem Código)",IF(ISERROR(MATCH($AE24,INDIRECT(ORÇAMENTO.BancoRef),0)),"(Código não identificado nas referências)",MATCH($AE24,INDIRECT(ORÇAMENTO.BancoRef),0))))</f>
        <v>#VALUE!</v>
      </c>
      <c r="AG24" s="59" t="e">
        <f ca="1">ROUND(IF(DESONERACAO="sim",REFERENCIA.Desonerado,REFERENCIA.NaoDesonerado),2)</f>
        <v>#VALUE!</v>
      </c>
      <c r="AH24" s="60">
        <f t="shared" si="27"/>
        <v>0.2223</v>
      </c>
      <c r="AJ24" s="61">
        <v>18</v>
      </c>
      <c r="AL24" s="62"/>
      <c r="AM24" s="63" t="e">
        <f t="shared" ca="1" si="0"/>
        <v>#VALUE!</v>
      </c>
      <c r="AN24" s="64" t="e">
        <f t="shared" ca="1" si="28"/>
        <v>#VALUE!</v>
      </c>
    </row>
    <row r="25" spans="1:40" ht="51" x14ac:dyDescent="0.2">
      <c r="A25" t="str">
        <f t="shared" si="24"/>
        <v>S</v>
      </c>
      <c r="B25">
        <f ca="1">IF(OR(C25="s",C25=0),OFFSET(B25,-1,0),C25)</f>
        <v>3</v>
      </c>
      <c r="C25" t="str">
        <f ca="1">IF(OFFSET(C25,-1,0)="L",1,IF(OFFSET(C25,-1,0)=1,2,IF(OR(A25="s",A25=0),"S",IF(AND(OFFSET(C25,-1,0)=2,A25=4),3,IF(AND(OR(OFFSET(C25,-1,0)="s",OFFSET(C25,-1,0)=0),A25&lt;&gt;"s",A25&gt;OFFSET(B25,-1,0)),OFFSET(B25,-1,0),A25)))))</f>
        <v>S</v>
      </c>
      <c r="D25">
        <f ca="1">IF(OR(C25="S",C25=0),0,IF(ISERROR(K25),J25,SMALL(J25:K25,1)))</f>
        <v>0</v>
      </c>
      <c r="E25" t="e">
        <f ca="1">IF($C25=1,OFFSET(E25,-1,0)+MAX(1,COUNTIF([1]QCI!$A$13:$A$24,OFFSET(ORÇAMENTO!E25,-1,0))),OFFSET(E25,-1,0))</f>
        <v>#VALUE!</v>
      </c>
      <c r="F25">
        <f ca="1">IF($C25=1,0,IF($C25=2,OFFSET(F25,-1,0)+1,OFFSET(F25,-1,0)))</f>
        <v>1</v>
      </c>
      <c r="G25">
        <f ca="1">IF(AND($C25&lt;=2,$C25&lt;&gt;0),0,IF($C25=3,OFFSET(G25,-1,0)+1,OFFSET(G25,-1,0)))</f>
        <v>1</v>
      </c>
      <c r="H25">
        <f ca="1">IF(AND($C25&lt;=3,$C25&lt;&gt;0),0,IF($C25=4,OFFSET(H25,-1,0)+1,OFFSET(H25,-1,0)))</f>
        <v>0</v>
      </c>
      <c r="I25" t="e">
        <f ca="1">IF(AND($C25&lt;=4,$C25&lt;&gt;0),0,IF(AND($C25="S",$X25&gt;0),OFFSET(I25,-1,0)+1,OFFSET(I25,-1,0)))</f>
        <v>#VALUE!</v>
      </c>
      <c r="J25">
        <f t="shared" ca="1" si="9"/>
        <v>0</v>
      </c>
      <c r="K25">
        <f ca="1">IF(OR($C25="S",$C25=0),0,MATCH(OFFSET($D25,0,$C25)+IF($C25&lt;&gt;1,1,COUNTIF([1]QCI!$A$13:$A$24,ORÇAMENTO!E25)),OFFSET($D25,1,$C25,ROW($C$145)-ROW($C25)),0))</f>
        <v>0</v>
      </c>
      <c r="L25" s="42" t="e">
        <f ca="1">IF(OR($X25&gt;0,$C25=1,$C25=2,$C25=3,$C25=4),"F","")</f>
        <v>#VALUE!</v>
      </c>
      <c r="M25" s="43" t="s">
        <v>7</v>
      </c>
      <c r="N25" s="44" t="str">
        <f ca="1">CHOOSE(1+LOG(1+2*(C25=1)+4*(C25=2)+8*(C25=3)+16*(C25=4)+32*(C25="S"),2),"","Meta","Nível 2","Nível 3","Nível 4","Serviço")</f>
        <v>Serviço</v>
      </c>
      <c r="O25" s="45" t="e">
        <f ca="1">IF(OR($C25=0,$L25=""),"-",CONCATENATE(E25&amp;".",IF(AND($A$5&gt;=2,$C25&gt;=2),F25&amp;".",""),IF(AND($A$5&gt;=3,$C25&gt;=3),G25&amp;".",""),IF(AND($A$5&gt;=4,$C25&gt;=4),H25&amp;".",""),IF($C25="S",I25&amp;".","")))</f>
        <v>#VALUE!</v>
      </c>
      <c r="P25" s="46" t="s">
        <v>62</v>
      </c>
      <c r="Q25" s="47" t="s">
        <v>86</v>
      </c>
      <c r="R25" s="48" t="s">
        <v>87</v>
      </c>
      <c r="S25" s="49" t="s">
        <v>78</v>
      </c>
      <c r="T25" s="50" t="e">
        <f ca="1">OFFSET([1]CÁLCULO!H$15,ROW($T25)-ROW(T$15),0)</f>
        <v>#VALUE!</v>
      </c>
      <c r="U25" s="51" t="e">
        <f t="shared" ca="1" si="23"/>
        <v>#VALUE!</v>
      </c>
      <c r="V25" s="52" t="s">
        <v>10</v>
      </c>
      <c r="W25" s="50" t="e">
        <f ca="1">IF($C25="S",ROUND(IF(TIPOORCAMENTO="Proposto",ORÇAMENTO.CustoUnitario*(1+$AH25),ORÇAMENTO.PrecoUnitarioLicitado),15-13*$AF$10),0)</f>
        <v>#VALUE!</v>
      </c>
      <c r="X25" s="53" t="e">
        <f t="shared" ca="1" si="25"/>
        <v>#VALUE!</v>
      </c>
      <c r="Y25" s="54" t="s">
        <v>63</v>
      </c>
      <c r="Z25" t="e">
        <f ca="1">IF(AND($C25="S",$X25&gt;0),IF(ISBLANK($Y25),"RA",LEFT($Y25,2)),"")</f>
        <v>#VALUE!</v>
      </c>
      <c r="AA25" s="55" t="e">
        <f ca="1">IF($C25="S",IF($Z25="CP",$X25,IF($Z25="RA",(($X25)*[1]QCI!$AA$3),0)),SomaAgrup)</f>
        <v>#VALUE!</v>
      </c>
      <c r="AB25" s="56" t="e">
        <f t="shared" ca="1" si="26"/>
        <v>#VALUE!</v>
      </c>
      <c r="AC25" s="57" t="e">
        <f ca="1">IF($N25="","",IF(ORÇAMENTO.Descricao="","DESCRIÇÃO",IF(AND($C25="S",ORÇAMENTO.Unidade=""),"UNIDADE",IF($X25&lt;0,"VALOR NEGATIVO",IF(OR(AND(TIPOORCAMENTO="Proposto",$AG25&lt;&gt;"",$AG25&gt;0,ORÇAMENTO.CustoUnitario&gt;$AG25),AND(TIPOORCAMENTO="LICITADO",ORÇAMENTO.PrecoUnitarioLicitado&gt;$AN25)),"ACIMA REF.","")))))</f>
        <v>#VALUE!</v>
      </c>
      <c r="AD25" t="str">
        <f ca="1">IF(C25&lt;=CRONO.NivelExibicao,MAX($AD$15:OFFSET(AD25,-1,0))+IF($C25&lt;&gt;1,1,MAX(1,COUNTIF([1]QCI!$A$13:$A$24,OFFSET($E25,-1,0)))),"")</f>
        <v/>
      </c>
      <c r="AE25" s="4" t="str">
        <f ca="1">IF(AND($C25="S",ORÇAMENTO.CodBarra&lt;&gt;""),IF(ORÇAMENTO.Fonte="",ORÇAMENTO.CodBarra,CONCATENATE(ORÇAMENTO.Fonte," ",ORÇAMENTO.CodBarra)))</f>
        <v>SINAPI 100981</v>
      </c>
      <c r="AF25" s="58" t="e">
        <f ca="1">IF(ISERROR(INDIRECT(ORÇAMENTO.BancoRef)),"(abra o arquivo 'Referência "&amp;Excel_BuiltIn_Database&amp;".xls)",IF(OR($C25&lt;&gt;"S",ORÇAMENTO.CodBarra=""),"(Sem Código)",IF(ISERROR(MATCH($AE25,INDIRECT(ORÇAMENTO.BancoRef),0)),"(Código não identificado nas referências)",MATCH($AE25,INDIRECT(ORÇAMENTO.BancoRef),0))))</f>
        <v>#VALUE!</v>
      </c>
      <c r="AG25" s="59" t="e">
        <f ca="1">ROUND(IF(DESONERACAO="sim",REFERENCIA.Desonerado,REFERENCIA.NaoDesonerado),2)</f>
        <v>#VALUE!</v>
      </c>
      <c r="AH25" s="60">
        <f t="shared" si="27"/>
        <v>0.2223</v>
      </c>
      <c r="AJ25" s="61">
        <v>49.18</v>
      </c>
      <c r="AL25" s="62"/>
      <c r="AM25" s="63" t="e">
        <f t="shared" ca="1" si="0"/>
        <v>#VALUE!</v>
      </c>
      <c r="AN25" s="64" t="e">
        <f t="shared" ca="1" si="28"/>
        <v>#VALUE!</v>
      </c>
    </row>
    <row r="26" spans="1:40" ht="38.25" x14ac:dyDescent="0.2">
      <c r="A26" t="str">
        <f t="shared" si="24"/>
        <v>S</v>
      </c>
      <c r="B26">
        <f ca="1">IF(OR(C26="s",C26=0),OFFSET(B26,-1,0),C26)</f>
        <v>3</v>
      </c>
      <c r="C26" t="str">
        <f ca="1">IF(OFFSET(C26,-1,0)="L",1,IF(OFFSET(C26,-1,0)=1,2,IF(OR(A26="s",A26=0),"S",IF(AND(OFFSET(C26,-1,0)=2,A26=4),3,IF(AND(OR(OFFSET(C26,-1,0)="s",OFFSET(C26,-1,0)=0),A26&lt;&gt;"s",A26&gt;OFFSET(B26,-1,0)),OFFSET(B26,-1,0),A26)))))</f>
        <v>S</v>
      </c>
      <c r="D26">
        <f ca="1">IF(OR(C26="S",C26=0),0,IF(ISERROR(K26),J26,SMALL(J26:K26,1)))</f>
        <v>0</v>
      </c>
      <c r="E26" t="e">
        <f ca="1">IF($C26=1,OFFSET(E26,-1,0)+MAX(1,COUNTIF([1]QCI!$A$13:$A$24,OFFSET(ORÇAMENTO!E26,-1,0))),OFFSET(E26,-1,0))</f>
        <v>#VALUE!</v>
      </c>
      <c r="F26">
        <f ca="1">IF($C26=1,0,IF($C26=2,OFFSET(F26,-1,0)+1,OFFSET(F26,-1,0)))</f>
        <v>1</v>
      </c>
      <c r="G26">
        <f ca="1">IF(AND($C26&lt;=2,$C26&lt;&gt;0),0,IF($C26=3,OFFSET(G26,-1,0)+1,OFFSET(G26,-1,0)))</f>
        <v>1</v>
      </c>
      <c r="H26">
        <f ca="1">IF(AND($C26&lt;=3,$C26&lt;&gt;0),0,IF($C26=4,OFFSET(H26,-1,0)+1,OFFSET(H26,-1,0)))</f>
        <v>0</v>
      </c>
      <c r="I26" t="e">
        <f ca="1">IF(AND($C26&lt;=4,$C26&lt;&gt;0),0,IF(AND($C26="S",$X26&gt;0),OFFSET(I26,-1,0)+1,OFFSET(I26,-1,0)))</f>
        <v>#VALUE!</v>
      </c>
      <c r="J26">
        <f t="shared" ca="1" si="9"/>
        <v>0</v>
      </c>
      <c r="K26">
        <f ca="1">IF(OR($C26="S",$C26=0),0,MATCH(OFFSET($D26,0,$C26)+IF($C26&lt;&gt;1,1,COUNTIF([1]QCI!$A$13:$A$24,ORÇAMENTO!E26)),OFFSET($D26,1,$C26,ROW($C$145)-ROW($C26)),0))</f>
        <v>0</v>
      </c>
      <c r="L26" s="42" t="e">
        <f ca="1">IF(OR($X26&gt;0,$C26=1,$C26=2,$C26=3,$C26=4),"F","")</f>
        <v>#VALUE!</v>
      </c>
      <c r="M26" s="43" t="s">
        <v>7</v>
      </c>
      <c r="N26" s="44" t="str">
        <f ca="1">CHOOSE(1+LOG(1+2*(C26=1)+4*(C26=2)+8*(C26=3)+16*(C26=4)+32*(C26="S"),2),"","Meta","Nível 2","Nível 3","Nível 4","Serviço")</f>
        <v>Serviço</v>
      </c>
      <c r="O26" s="45" t="e">
        <f ca="1">IF(OR($C26=0,$L26=""),"-",CONCATENATE(E26&amp;".",IF(AND($A$5&gt;=2,$C26&gt;=2),F26&amp;".",""),IF(AND($A$5&gt;=3,$C26&gt;=3),G26&amp;".",""),IF(AND($A$5&gt;=4,$C26&gt;=4),H26&amp;".",""),IF($C26="S",I26&amp;".","")))</f>
        <v>#VALUE!</v>
      </c>
      <c r="P26" s="46" t="s">
        <v>62</v>
      </c>
      <c r="Q26" s="47" t="s">
        <v>88</v>
      </c>
      <c r="R26" s="48" t="s">
        <v>89</v>
      </c>
      <c r="S26" s="49" t="s">
        <v>90</v>
      </c>
      <c r="T26" s="50" t="e">
        <f ca="1">OFFSET([1]CÁLCULO!H$15,ROW($T26)-ROW(T$15),0)</f>
        <v>#VALUE!</v>
      </c>
      <c r="U26" s="51" t="e">
        <f t="shared" ca="1" si="23"/>
        <v>#VALUE!</v>
      </c>
      <c r="V26" s="52" t="s">
        <v>10</v>
      </c>
      <c r="W26" s="50" t="e">
        <f ca="1">IF($C26="S",ROUND(IF(TIPOORCAMENTO="Proposto",ORÇAMENTO.CustoUnitario*(1+$AH26),ORÇAMENTO.PrecoUnitarioLicitado),15-13*$AF$10),0)</f>
        <v>#VALUE!</v>
      </c>
      <c r="X26" s="53" t="e">
        <f t="shared" ca="1" si="25"/>
        <v>#VALUE!</v>
      </c>
      <c r="Y26" s="54" t="s">
        <v>63</v>
      </c>
      <c r="Z26" t="e">
        <f ca="1">IF(AND($C26="S",$X26&gt;0),IF(ISBLANK($Y26),"RA",LEFT($Y26,2)),"")</f>
        <v>#VALUE!</v>
      </c>
      <c r="AA26" s="55" t="e">
        <f ca="1">IF($C26="S",IF($Z26="CP",$X26,IF($Z26="RA",(($X26)*[1]QCI!$AA$3),0)),SomaAgrup)</f>
        <v>#VALUE!</v>
      </c>
      <c r="AB26" s="56" t="e">
        <f t="shared" ca="1" si="26"/>
        <v>#VALUE!</v>
      </c>
      <c r="AC26" s="57" t="e">
        <f ca="1">IF($N26="","",IF(ORÇAMENTO.Descricao="","DESCRIÇÃO",IF(AND($C26="S",ORÇAMENTO.Unidade=""),"UNIDADE",IF($X26&lt;0,"VALOR NEGATIVO",IF(OR(AND(TIPOORCAMENTO="Proposto",$AG26&lt;&gt;"",$AG26&gt;0,ORÇAMENTO.CustoUnitario&gt;$AG26),AND(TIPOORCAMENTO="LICITADO",ORÇAMENTO.PrecoUnitarioLicitado&gt;$AN26)),"ACIMA REF.","")))))</f>
        <v>#VALUE!</v>
      </c>
      <c r="AD26" t="str">
        <f ca="1">IF(C26&lt;=CRONO.NivelExibicao,MAX($AD$15:OFFSET(AD26,-1,0))+IF($C26&lt;&gt;1,1,MAX(1,COUNTIF([1]QCI!$A$13:$A$24,OFFSET($E26,-1,0)))),"")</f>
        <v/>
      </c>
      <c r="AE26" s="4" t="str">
        <f ca="1">IF(AND($C26="S",ORÇAMENTO.CodBarra&lt;&gt;""),IF(ORÇAMENTO.Fonte="",ORÇAMENTO.CodBarra,CONCATENATE(ORÇAMENTO.Fonte," ",ORÇAMENTO.CodBarra)))</f>
        <v>SINAPI 97914</v>
      </c>
      <c r="AF26" s="58" t="e">
        <f ca="1">IF(ISERROR(INDIRECT(ORÇAMENTO.BancoRef)),"(abra o arquivo 'Referência "&amp;Excel_BuiltIn_Database&amp;".xls)",IF(OR($C26&lt;&gt;"S",ORÇAMENTO.CodBarra=""),"(Sem Código)",IF(ISERROR(MATCH($AE26,INDIRECT(ORÇAMENTO.BancoRef),0)),"(Código não identificado nas referências)",MATCH($AE26,INDIRECT(ORÇAMENTO.BancoRef),0))))</f>
        <v>#VALUE!</v>
      </c>
      <c r="AG26" s="59" t="e">
        <f ca="1">ROUND(IF(DESONERACAO="sim",REFERENCIA.Desonerado,REFERENCIA.NaoDesonerado),2)</f>
        <v>#VALUE!</v>
      </c>
      <c r="AH26" s="60">
        <f t="shared" si="27"/>
        <v>0.2223</v>
      </c>
      <c r="AJ26" s="61">
        <f>AJ25*5</f>
        <v>245.9</v>
      </c>
      <c r="AL26" s="62"/>
      <c r="AM26" s="63" t="e">
        <f t="shared" ca="1" si="0"/>
        <v>#VALUE!</v>
      </c>
      <c r="AN26" s="64" t="e">
        <f t="shared" ca="1" si="28"/>
        <v>#VALUE!</v>
      </c>
    </row>
    <row r="27" spans="1:40" x14ac:dyDescent="0.2">
      <c r="A27">
        <f t="shared" si="24"/>
        <v>3</v>
      </c>
      <c r="B27">
        <f t="shared" ref="B27:B44" ca="1" si="29">IF(OR(C27="s",C27=0),OFFSET(B27,-1,0),C27)</f>
        <v>3</v>
      </c>
      <c r="C27">
        <f t="shared" ref="C27:C44" ca="1" si="30">IF(OFFSET(C27,-1,0)="L",1,IF(OFFSET(C27,-1,0)=1,2,IF(OR(A27="s",A27=0),"S",IF(AND(OFFSET(C27,-1,0)=2,A27=4),3,IF(AND(OR(OFFSET(C27,-1,0)="s",OFFSET(C27,-1,0)=0),A27&lt;&gt;"s",A27&gt;OFFSET(B27,-1,0)),OFFSET(B27,-1,0),A27)))))</f>
        <v>3</v>
      </c>
      <c r="D27">
        <f t="shared" ref="D27:D44" ca="1" si="31">IF(OR(C27="S",C27=0),0,IF(ISERROR(K27),J27,SMALL(J27:K27,1)))</f>
        <v>3</v>
      </c>
      <c r="E27" t="e">
        <f ca="1">IF($C27=1,OFFSET(E27,-1,0)+MAX(1,COUNTIF([1]QCI!$A$13:$A$24,OFFSET(ORÇAMENTO!E27,-1,0))),OFFSET(E27,-1,0))</f>
        <v>#VALUE!</v>
      </c>
      <c r="F27">
        <f t="shared" ref="F27:F44" ca="1" si="32">IF($C27=1,0,IF($C27=2,OFFSET(F27,-1,0)+1,OFFSET(F27,-1,0)))</f>
        <v>1</v>
      </c>
      <c r="G27">
        <f t="shared" ref="G27:G44" ca="1" si="33">IF(AND($C27&lt;=2,$C27&lt;&gt;0),0,IF($C27=3,OFFSET(G27,-1,0)+1,OFFSET(G27,-1,0)))</f>
        <v>2</v>
      </c>
      <c r="H27">
        <f t="shared" ref="H27:H44" ca="1" si="34">IF(AND($C27&lt;=3,$C27&lt;&gt;0),0,IF($C27=4,OFFSET(H27,-1,0)+1,OFFSET(H27,-1,0)))</f>
        <v>0</v>
      </c>
      <c r="I27">
        <f t="shared" ref="I27:I44" ca="1" si="35">IF(AND($C27&lt;=4,$C27&lt;&gt;0),0,IF(AND($C27="S",$X27&gt;0),OFFSET(I27,-1,0)+1,OFFSET(I27,-1,0)))</f>
        <v>0</v>
      </c>
      <c r="J27">
        <f t="shared" ca="1" si="9"/>
        <v>18</v>
      </c>
      <c r="K27">
        <f ca="1">IF(OR($C27="S",$C27=0),0,MATCH(OFFSET($D27,0,$C27)+IF($C27&lt;&gt;1,1,COUNTIF([1]QCI!$A$13:$A$24,ORÇAMENTO!E27)),OFFSET($D27,1,$C27,ROW($C$145)-ROW($C27)),0))</f>
        <v>3</v>
      </c>
      <c r="L27" s="42" t="e">
        <f t="shared" ref="L27:L44" ca="1" si="36">IF(OR($X27&gt;0,$C27=1,$C27=2,$C27=3,$C27=4),"F","")</f>
        <v>#VALUE!</v>
      </c>
      <c r="M27" s="43" t="s">
        <v>5</v>
      </c>
      <c r="N27" s="44" t="str">
        <f t="shared" ref="N27:N44" ca="1" si="37">CHOOSE(1+LOG(1+2*(C27=1)+4*(C27=2)+8*(C27=3)+16*(C27=4)+32*(C27="S"),2),"","Meta","Nível 2","Nível 3","Nível 4","Serviço")</f>
        <v>Nível 3</v>
      </c>
      <c r="O27" s="45" t="e">
        <f t="shared" ref="O27:O44" ca="1" si="38">IF(OR($C27=0,$L27=""),"-",CONCATENATE(E27&amp;".",IF(AND($A$5&gt;=2,$C27&gt;=2),F27&amp;".",""),IF(AND($A$5&gt;=3,$C27&gt;=3),G27&amp;".",""),IF(AND($A$5&gt;=4,$C27&gt;=4),H27&amp;".",""),IF($C27="S",I27&amp;".","")))</f>
        <v>#VALUE!</v>
      </c>
      <c r="P27" s="46" t="s">
        <v>62</v>
      </c>
      <c r="Q27" s="47"/>
      <c r="R27" s="48" t="s">
        <v>91</v>
      </c>
      <c r="S27" s="49" t="s">
        <v>67</v>
      </c>
      <c r="T27" s="50" t="e">
        <f ca="1">OFFSET([1]CÁLCULO!H$15,ROW($T27)-ROW(T$15),0)</f>
        <v>#VALUE!</v>
      </c>
      <c r="U27" s="51"/>
      <c r="V27" s="52" t="s">
        <v>10</v>
      </c>
      <c r="W27" s="50">
        <f ca="1">IF($C27="S",ROUND(IF(TIPOORCAMENTO="Proposto",ORÇAMENTO.CustoUnitario*(1+$AH27),ORÇAMENTO.PrecoUnitarioLicitado),15-13*$AF$10),0)</f>
        <v>0</v>
      </c>
      <c r="X27" s="53" t="e">
        <f t="shared" ca="1" si="25"/>
        <v>#VALUE!</v>
      </c>
      <c r="Y27" s="54" t="s">
        <v>63</v>
      </c>
      <c r="Z27" t="e">
        <f t="shared" ref="Z27:Z44" ca="1" si="39">IF(AND($C27="S",$X27&gt;0),IF(ISBLANK($Y27),"RA",LEFT($Y27,2)),"")</f>
        <v>#VALUE!</v>
      </c>
      <c r="AA27" s="55" t="e">
        <f ca="1">IF($C27="S",IF($Z27="CP",$X27,IF($Z27="RA",(($X27)*[1]QCI!$AA$3),0)),SomaAgrup)</f>
        <v>#VALUE!</v>
      </c>
      <c r="AB27" s="56" t="e">
        <f t="shared" ca="1" si="26"/>
        <v>#VALUE!</v>
      </c>
      <c r="AC27" s="57" t="e">
        <f ca="1">IF($N27="","",IF(ORÇAMENTO.Descricao="","DESCRIÇÃO",IF(AND($C27="S",ORÇAMENTO.Unidade=""),"UNIDADE",IF($X27&lt;0,"VALOR NEGATIVO",IF(OR(AND(TIPOORCAMENTO="Proposto",$AG27&lt;&gt;"",$AG27&gt;0,ORÇAMENTO.CustoUnitario&gt;$AG27),AND(TIPOORCAMENTO="LICITADO",ORÇAMENTO.PrecoUnitarioLicitado&gt;$AN27)),"ACIMA REF.","")))))</f>
        <v>#VALUE!</v>
      </c>
      <c r="AD27" t="e">
        <f ca="1">IF(C27&lt;=CRONO.NivelExibicao,MAX($AD$15:OFFSET(AD27,-1,0))+IF($C27&lt;&gt;1,1,MAX(1,COUNTIF([1]QCI!$A$13:$A$24,OFFSET($E27,-1,0)))),"")</f>
        <v>#VALUE!</v>
      </c>
      <c r="AE27" s="4" t="b">
        <f ca="1">IF(AND($C27="S",ORÇAMENTO.CodBarra&lt;&gt;""),IF(ORÇAMENTO.Fonte="",ORÇAMENTO.CodBarra,CONCATENATE(ORÇAMENTO.Fonte," ",ORÇAMENTO.CodBarra)))</f>
        <v>0</v>
      </c>
      <c r="AF27" s="58" t="e">
        <f ca="1">IF(ISERROR(INDIRECT(ORÇAMENTO.BancoRef)),"(abra o arquivo 'Referência "&amp;Excel_BuiltIn_Database&amp;".xls)",IF(OR($C27&lt;&gt;"S",ORÇAMENTO.CodBarra=""),"(Sem Código)",IF(ISERROR(MATCH($AE27,INDIRECT(ORÇAMENTO.BancoRef),0)),"(Código não identificado nas referências)",MATCH($AE27,INDIRECT(ORÇAMENTO.BancoRef),0))))</f>
        <v>#VALUE!</v>
      </c>
      <c r="AG27" s="59" t="e">
        <f ca="1">ROUND(IF(DESONERACAO="sim",REFERENCIA.Desonerado,REFERENCIA.NaoDesonerado),2)</f>
        <v>#VALUE!</v>
      </c>
      <c r="AH27" s="60">
        <f t="shared" si="27"/>
        <v>0.2223</v>
      </c>
      <c r="AJ27" s="61"/>
      <c r="AL27" s="62"/>
      <c r="AM27" s="63" t="e">
        <f t="shared" ca="1" si="0"/>
        <v>#VALUE!</v>
      </c>
      <c r="AN27" s="64">
        <f t="shared" si="28"/>
        <v>0</v>
      </c>
    </row>
    <row r="28" spans="1:40" ht="51" x14ac:dyDescent="0.2">
      <c r="A28" t="str">
        <f t="shared" si="24"/>
        <v>S</v>
      </c>
      <c r="B28">
        <f t="shared" ca="1" si="29"/>
        <v>3</v>
      </c>
      <c r="C28" t="str">
        <f t="shared" ca="1" si="30"/>
        <v>S</v>
      </c>
      <c r="D28">
        <f t="shared" ca="1" si="31"/>
        <v>0</v>
      </c>
      <c r="E28" t="e">
        <f ca="1">IF($C28=1,OFFSET(E28,-1,0)+MAX(1,COUNTIF([1]QCI!$A$13:$A$24,OFFSET(ORÇAMENTO!E28,-1,0))),OFFSET(E28,-1,0))</f>
        <v>#VALUE!</v>
      </c>
      <c r="F28">
        <f t="shared" ca="1" si="32"/>
        <v>1</v>
      </c>
      <c r="G28">
        <f t="shared" ca="1" si="33"/>
        <v>2</v>
      </c>
      <c r="H28">
        <f t="shared" ca="1" si="34"/>
        <v>0</v>
      </c>
      <c r="I28" t="e">
        <f t="shared" ca="1" si="35"/>
        <v>#VALUE!</v>
      </c>
      <c r="J28">
        <f t="shared" ca="1" si="9"/>
        <v>0</v>
      </c>
      <c r="K28">
        <f ca="1">IF(OR($C28="S",$C28=0),0,MATCH(OFFSET($D28,0,$C28)+IF($C28&lt;&gt;1,1,COUNTIF([1]QCI!$A$13:$A$24,ORÇAMENTO!E28)),OFFSET($D28,1,$C28,ROW($C$145)-ROW($C28)),0))</f>
        <v>0</v>
      </c>
      <c r="L28" s="42" t="e">
        <f t="shared" ca="1" si="36"/>
        <v>#VALUE!</v>
      </c>
      <c r="M28" s="43" t="s">
        <v>7</v>
      </c>
      <c r="N28" s="44" t="str">
        <f t="shared" ca="1" si="37"/>
        <v>Serviço</v>
      </c>
      <c r="O28" s="45" t="e">
        <f t="shared" ca="1" si="38"/>
        <v>#VALUE!</v>
      </c>
      <c r="P28" s="46" t="s">
        <v>62</v>
      </c>
      <c r="Q28" s="47" t="s">
        <v>92</v>
      </c>
      <c r="R28" s="48" t="s">
        <v>93</v>
      </c>
      <c r="S28" s="49" t="s">
        <v>75</v>
      </c>
      <c r="T28" s="50" t="e">
        <f ca="1">OFFSET([1]CÁLCULO!H$15,ROW($T28)-ROW(T$15),0)</f>
        <v>#VALUE!</v>
      </c>
      <c r="U28" s="51" t="e">
        <f t="shared" ca="1" si="23"/>
        <v>#VALUE!</v>
      </c>
      <c r="V28" s="52" t="s">
        <v>10</v>
      </c>
      <c r="W28" s="50" t="e">
        <f ca="1">IF($C28="S",ROUND(IF(TIPOORCAMENTO="Proposto",ORÇAMENTO.CustoUnitario*(1+$AH28),ORÇAMENTO.PrecoUnitarioLicitado),15-13*$AF$10),0)</f>
        <v>#VALUE!</v>
      </c>
      <c r="X28" s="53" t="e">
        <f t="shared" ca="1" si="25"/>
        <v>#VALUE!</v>
      </c>
      <c r="Y28" s="54" t="s">
        <v>63</v>
      </c>
      <c r="Z28" t="e">
        <f t="shared" ca="1" si="39"/>
        <v>#VALUE!</v>
      </c>
      <c r="AA28" s="55" t="e">
        <f ca="1">IF($C28="S",IF($Z28="CP",$X28,IF($Z28="RA",(($X28)*[1]QCI!$AA$3),0)),SomaAgrup)</f>
        <v>#VALUE!</v>
      </c>
      <c r="AB28" s="56" t="e">
        <f t="shared" ca="1" si="26"/>
        <v>#VALUE!</v>
      </c>
      <c r="AC28" s="57" t="e">
        <f ca="1">IF($N28="","",IF(ORÇAMENTO.Descricao="","DESCRIÇÃO",IF(AND($C28="S",ORÇAMENTO.Unidade=""),"UNIDADE",IF($X28&lt;0,"VALOR NEGATIVO",IF(OR(AND(TIPOORCAMENTO="Proposto",$AG28&lt;&gt;"",$AG28&gt;0,ORÇAMENTO.CustoUnitario&gt;$AG28),AND(TIPOORCAMENTO="LICITADO",ORÇAMENTO.PrecoUnitarioLicitado&gt;$AN28)),"ACIMA REF.","")))))</f>
        <v>#VALUE!</v>
      </c>
      <c r="AD28" t="str">
        <f ca="1">IF(C28&lt;=CRONO.NivelExibicao,MAX($AD$15:OFFSET(AD28,-1,0))+IF($C28&lt;&gt;1,1,MAX(1,COUNTIF([1]QCI!$A$13:$A$24,OFFSET($E28,-1,0)))),"")</f>
        <v/>
      </c>
      <c r="AE28" s="4" t="str">
        <f ca="1">IF(AND($C28="S",ORÇAMENTO.CodBarra&lt;&gt;""),IF(ORÇAMENTO.Fonte="",ORÇAMENTO.CodBarra,CONCATENATE(ORÇAMENTO.Fonte," ",ORÇAMENTO.CodBarra)))</f>
        <v>SINAPI 87620</v>
      </c>
      <c r="AF28" s="58" t="e">
        <f ca="1">IF(ISERROR(INDIRECT(ORÇAMENTO.BancoRef)),"(abra o arquivo 'Referência "&amp;Excel_BuiltIn_Database&amp;".xls)",IF(OR($C28&lt;&gt;"S",ORÇAMENTO.CodBarra=""),"(Sem Código)",IF(ISERROR(MATCH($AE28,INDIRECT(ORÇAMENTO.BancoRef),0)),"(Código não identificado nas referências)",MATCH($AE28,INDIRECT(ORÇAMENTO.BancoRef),0))))</f>
        <v>#VALUE!</v>
      </c>
      <c r="AG28" s="59" t="e">
        <f ca="1">ROUND(IF(DESONERACAO="sim",REFERENCIA.Desonerado,REFERENCIA.NaoDesonerado),2)</f>
        <v>#VALUE!</v>
      </c>
      <c r="AH28" s="60">
        <f t="shared" si="27"/>
        <v>0.2223</v>
      </c>
      <c r="AJ28" s="61">
        <v>120</v>
      </c>
      <c r="AL28" s="62"/>
      <c r="AM28" s="63" t="e">
        <f t="shared" ca="1" si="0"/>
        <v>#VALUE!</v>
      </c>
      <c r="AN28" s="64" t="e">
        <f t="shared" ca="1" si="28"/>
        <v>#VALUE!</v>
      </c>
    </row>
    <row r="29" spans="1:40" x14ac:dyDescent="0.2">
      <c r="A29" t="str">
        <f t="shared" si="24"/>
        <v>S</v>
      </c>
      <c r="B29">
        <f t="shared" ca="1" si="29"/>
        <v>3</v>
      </c>
      <c r="C29" t="str">
        <f t="shared" ca="1" si="30"/>
        <v>S</v>
      </c>
      <c r="D29">
        <f t="shared" ca="1" si="31"/>
        <v>0</v>
      </c>
      <c r="E29" t="e">
        <f ca="1">IF($C29=1,OFFSET(E29,-1,0)+MAX(1,COUNTIF([1]QCI!$A$13:$A$24,OFFSET(ORÇAMENTO!E29,-1,0))),OFFSET(E29,-1,0))</f>
        <v>#VALUE!</v>
      </c>
      <c r="F29">
        <f t="shared" ca="1" si="32"/>
        <v>1</v>
      </c>
      <c r="G29">
        <f t="shared" ca="1" si="33"/>
        <v>2</v>
      </c>
      <c r="H29">
        <f t="shared" ca="1" si="34"/>
        <v>0</v>
      </c>
      <c r="I29" t="e">
        <f t="shared" ca="1" si="35"/>
        <v>#VALUE!</v>
      </c>
      <c r="J29">
        <f t="shared" ca="1" si="9"/>
        <v>0</v>
      </c>
      <c r="K29">
        <f ca="1">IF(OR($C29="S",$C29=0),0,MATCH(OFFSET($D29,0,$C29)+IF($C29&lt;&gt;1,1,COUNTIF([1]QCI!$A$13:$A$24,ORÇAMENTO!E29)),OFFSET($D29,1,$C29,ROW($C$145)-ROW($C29)),0))</f>
        <v>0</v>
      </c>
      <c r="L29" s="42" t="e">
        <f t="shared" ca="1" si="36"/>
        <v>#VALUE!</v>
      </c>
      <c r="M29" s="43" t="s">
        <v>7</v>
      </c>
      <c r="N29" s="44" t="str">
        <f t="shared" ca="1" si="37"/>
        <v>Serviço</v>
      </c>
      <c r="O29" s="45" t="e">
        <f t="shared" ca="1" si="38"/>
        <v>#VALUE!</v>
      </c>
      <c r="P29" s="46" t="s">
        <v>62</v>
      </c>
      <c r="Q29" s="47" t="s">
        <v>94</v>
      </c>
      <c r="R29" s="48" t="s">
        <v>95</v>
      </c>
      <c r="S29" s="49" t="s">
        <v>96</v>
      </c>
      <c r="T29" s="50" t="e">
        <f ca="1">OFFSET([1]CÁLCULO!H$15,ROW($T29)-ROW(T$15),0)</f>
        <v>#VALUE!</v>
      </c>
      <c r="U29" s="51">
        <v>174935.24</v>
      </c>
      <c r="V29" s="52" t="s">
        <v>10</v>
      </c>
      <c r="W29" s="50">
        <f ca="1">IF($C29="S",ROUND(IF(TIPOORCAMENTO="Proposto",ORÇAMENTO.CustoUnitario*(1+$AH29),ORÇAMENTO.PrecoUnitarioLicitado),15-13*$AF$10),0)</f>
        <v>213823.34385199999</v>
      </c>
      <c r="X29" s="53" t="e">
        <f t="shared" ca="1" si="25"/>
        <v>#VALUE!</v>
      </c>
      <c r="Y29" s="54" t="s">
        <v>63</v>
      </c>
      <c r="Z29" t="e">
        <f t="shared" ca="1" si="39"/>
        <v>#VALUE!</v>
      </c>
      <c r="AA29" s="55" t="e">
        <f ca="1">IF($C29="S",IF($Z29="CP",$X29,IF($Z29="RA",(($X29)*[1]QCI!$AA$3),0)),SomaAgrup)</f>
        <v>#VALUE!</v>
      </c>
      <c r="AB29" s="56" t="e">
        <f t="shared" ca="1" si="26"/>
        <v>#VALUE!</v>
      </c>
      <c r="AC29" s="57" t="e">
        <f ca="1">IF($N29="","",IF(ORÇAMENTO.Descricao="","DESCRIÇÃO",IF(AND($C29="S",ORÇAMENTO.Unidade=""),"UNIDADE",IF($X29&lt;0,"VALOR NEGATIVO",IF(OR(AND(TIPOORCAMENTO="Proposto",$AG29&lt;&gt;"",$AG29&gt;0,ORÇAMENTO.CustoUnitario&gt;$AG29),AND(TIPOORCAMENTO="LICITADO",ORÇAMENTO.PrecoUnitarioLicitado&gt;$AN29)),"ACIMA REF.","")))))</f>
        <v>#VALUE!</v>
      </c>
      <c r="AD29" t="str">
        <f ca="1">IF(C29&lt;=CRONO.NivelExibicao,MAX($AD$15:OFFSET(AD29,-1,0))+IF($C29&lt;&gt;1,1,MAX(1,COUNTIF([1]QCI!$A$13:$A$24,OFFSET($E29,-1,0)))),"")</f>
        <v/>
      </c>
      <c r="AE29" s="4" t="str">
        <f ca="1">IF(AND($C29="S",ORÇAMENTO.CodBarra&lt;&gt;""),IF(ORÇAMENTO.Fonte="",ORÇAMENTO.CodBarra,CONCATENATE(ORÇAMENTO.Fonte," ",ORÇAMENTO.CodBarra)))</f>
        <v xml:space="preserve">SINAPI COTAÇÃO </v>
      </c>
      <c r="AF29" s="58" t="e">
        <f ca="1">IF(ISERROR(INDIRECT(ORÇAMENTO.BancoRef)),"(abra o arquivo 'Referência "&amp;Excel_BuiltIn_Database&amp;".xls)",IF(OR($C29&lt;&gt;"S",ORÇAMENTO.CodBarra=""),"(Sem Código)",IF(ISERROR(MATCH($AE29,INDIRECT(ORÇAMENTO.BancoRef),0)),"(Código não identificado nas referências)",MATCH($AE29,INDIRECT(ORÇAMENTO.BancoRef),0))))</f>
        <v>#VALUE!</v>
      </c>
      <c r="AG29" s="59" t="e">
        <f ca="1">ROUND(IF(DESONERACAO="sim",REFERENCIA.Desonerado,REFERENCIA.NaoDesonerado),2)</f>
        <v>#VALUE!</v>
      </c>
      <c r="AH29" s="60">
        <f t="shared" si="27"/>
        <v>0.2223</v>
      </c>
      <c r="AJ29" s="61">
        <v>1</v>
      </c>
      <c r="AL29" s="62"/>
      <c r="AM29" s="63" t="e">
        <f t="shared" ca="1" si="0"/>
        <v>#VALUE!</v>
      </c>
      <c r="AN29" s="64">
        <f t="shared" si="28"/>
        <v>213823.34</v>
      </c>
    </row>
    <row r="30" spans="1:40" x14ac:dyDescent="0.2">
      <c r="A30">
        <f t="shared" si="24"/>
        <v>3</v>
      </c>
      <c r="B30">
        <f t="shared" ca="1" si="29"/>
        <v>3</v>
      </c>
      <c r="C30">
        <f t="shared" ca="1" si="30"/>
        <v>3</v>
      </c>
      <c r="D30">
        <f t="shared" ca="1" si="31"/>
        <v>2</v>
      </c>
      <c r="E30" t="e">
        <f ca="1">IF($C30=1,OFFSET(E30,-1,0)+MAX(1,COUNTIF([1]QCI!$A$13:$A$24,OFFSET(ORÇAMENTO!E30,-1,0))),OFFSET(E30,-1,0))</f>
        <v>#VALUE!</v>
      </c>
      <c r="F30">
        <f t="shared" ca="1" si="32"/>
        <v>1</v>
      </c>
      <c r="G30">
        <f t="shared" ca="1" si="33"/>
        <v>3</v>
      </c>
      <c r="H30">
        <f t="shared" ca="1" si="34"/>
        <v>0</v>
      </c>
      <c r="I30">
        <f t="shared" ca="1" si="35"/>
        <v>0</v>
      </c>
      <c r="J30">
        <f t="shared" ca="1" si="9"/>
        <v>15</v>
      </c>
      <c r="K30">
        <f ca="1">IF(OR($C30="S",$C30=0),0,MATCH(OFFSET($D30,0,$C30)+IF($C30&lt;&gt;1,1,COUNTIF([1]QCI!$A$13:$A$24,ORÇAMENTO!E30)),OFFSET($D30,1,$C30,ROW($C$145)-ROW($C30)),0))</f>
        <v>2</v>
      </c>
      <c r="L30" s="42" t="e">
        <f t="shared" ca="1" si="36"/>
        <v>#VALUE!</v>
      </c>
      <c r="M30" s="43" t="s">
        <v>5</v>
      </c>
      <c r="N30" s="44" t="str">
        <f t="shared" ca="1" si="37"/>
        <v>Nível 3</v>
      </c>
      <c r="O30" s="45" t="e">
        <f t="shared" ca="1" si="38"/>
        <v>#VALUE!</v>
      </c>
      <c r="P30" s="46" t="s">
        <v>62</v>
      </c>
      <c r="Q30" s="47"/>
      <c r="R30" s="48" t="s">
        <v>97</v>
      </c>
      <c r="S30" s="49" t="s">
        <v>67</v>
      </c>
      <c r="T30" s="50" t="e">
        <f ca="1">OFFSET([1]CÁLCULO!H$15,ROW($T30)-ROW(T$15),0)</f>
        <v>#VALUE!</v>
      </c>
      <c r="U30" s="51"/>
      <c r="V30" s="52" t="s">
        <v>10</v>
      </c>
      <c r="W30" s="50">
        <f ca="1">IF($C30="S",ROUND(IF(TIPOORCAMENTO="Proposto",ORÇAMENTO.CustoUnitario*(1+$AH30),ORÇAMENTO.PrecoUnitarioLicitado),15-13*$AF$10),0)</f>
        <v>0</v>
      </c>
      <c r="X30" s="53" t="e">
        <f t="shared" ca="1" si="25"/>
        <v>#VALUE!</v>
      </c>
      <c r="Y30" s="54" t="s">
        <v>63</v>
      </c>
      <c r="Z30" t="e">
        <f t="shared" ca="1" si="39"/>
        <v>#VALUE!</v>
      </c>
      <c r="AA30" s="55" t="e">
        <f ca="1">IF($C30="S",IF($Z30="CP",$X30,IF($Z30="RA",(($X30)*[1]QCI!$AA$3),0)),SomaAgrup)</f>
        <v>#VALUE!</v>
      </c>
      <c r="AB30" s="56" t="e">
        <f t="shared" ca="1" si="26"/>
        <v>#VALUE!</v>
      </c>
      <c r="AC30" s="57" t="e">
        <f ca="1">IF($N30="","",IF(ORÇAMENTO.Descricao="","DESCRIÇÃO",IF(AND($C30="S",ORÇAMENTO.Unidade=""),"UNIDADE",IF($X30&lt;0,"VALOR NEGATIVO",IF(OR(AND(TIPOORCAMENTO="Proposto",$AG30&lt;&gt;"",$AG30&gt;0,ORÇAMENTO.CustoUnitario&gt;$AG30),AND(TIPOORCAMENTO="LICITADO",ORÇAMENTO.PrecoUnitarioLicitado&gt;$AN30)),"ACIMA REF.","")))))</f>
        <v>#VALUE!</v>
      </c>
      <c r="AD30" t="e">
        <f ca="1">IF(C30&lt;=CRONO.NivelExibicao,MAX($AD$15:OFFSET(AD30,-1,0))+IF($C30&lt;&gt;1,1,MAX(1,COUNTIF([1]QCI!$A$13:$A$24,OFFSET($E30,-1,0)))),"")</f>
        <v>#VALUE!</v>
      </c>
      <c r="AE30" s="4" t="b">
        <f ca="1">IF(AND($C30="S",ORÇAMENTO.CodBarra&lt;&gt;""),IF(ORÇAMENTO.Fonte="",ORÇAMENTO.CodBarra,CONCATENATE(ORÇAMENTO.Fonte," ",ORÇAMENTO.CodBarra)))</f>
        <v>0</v>
      </c>
      <c r="AF30" s="58" t="e">
        <f ca="1">IF(ISERROR(INDIRECT(ORÇAMENTO.BancoRef)),"(abra o arquivo 'Referência "&amp;Excel_BuiltIn_Database&amp;".xls)",IF(OR($C30&lt;&gt;"S",ORÇAMENTO.CodBarra=""),"(Sem Código)",IF(ISERROR(MATCH($AE30,INDIRECT(ORÇAMENTO.BancoRef),0)),"(Código não identificado nas referências)",MATCH($AE30,INDIRECT(ORÇAMENTO.BancoRef),0))))</f>
        <v>#VALUE!</v>
      </c>
      <c r="AG30" s="59" t="e">
        <f ca="1">ROUND(IF(DESONERACAO="sim",REFERENCIA.Desonerado,REFERENCIA.NaoDesonerado),2)</f>
        <v>#VALUE!</v>
      </c>
      <c r="AH30" s="60">
        <f t="shared" si="27"/>
        <v>0.2223</v>
      </c>
      <c r="AJ30" s="61"/>
      <c r="AL30" s="62"/>
      <c r="AM30" s="63" t="e">
        <f t="shared" ca="1" si="0"/>
        <v>#VALUE!</v>
      </c>
      <c r="AN30" s="64">
        <f t="shared" si="28"/>
        <v>0</v>
      </c>
    </row>
    <row r="31" spans="1:40" ht="38.25" x14ac:dyDescent="0.2">
      <c r="A31" t="str">
        <f t="shared" si="24"/>
        <v>S</v>
      </c>
      <c r="B31">
        <f t="shared" ca="1" si="29"/>
        <v>3</v>
      </c>
      <c r="C31" t="str">
        <f t="shared" ca="1" si="30"/>
        <v>S</v>
      </c>
      <c r="D31">
        <f t="shared" ca="1" si="31"/>
        <v>0</v>
      </c>
      <c r="E31" t="e">
        <f ca="1">IF($C31=1,OFFSET(E31,-1,0)+MAX(1,COUNTIF([1]QCI!$A$13:$A$24,OFFSET(ORÇAMENTO!E31,-1,0))),OFFSET(E31,-1,0))</f>
        <v>#VALUE!</v>
      </c>
      <c r="F31">
        <f t="shared" ca="1" si="32"/>
        <v>1</v>
      </c>
      <c r="G31">
        <f t="shared" ca="1" si="33"/>
        <v>3</v>
      </c>
      <c r="H31">
        <f t="shared" ca="1" si="34"/>
        <v>0</v>
      </c>
      <c r="I31" t="e">
        <f t="shared" ca="1" si="35"/>
        <v>#VALUE!</v>
      </c>
      <c r="J31">
        <f t="shared" ca="1" si="9"/>
        <v>0</v>
      </c>
      <c r="K31">
        <f ca="1">IF(OR($C31="S",$C31=0),0,MATCH(OFFSET($D31,0,$C31)+IF($C31&lt;&gt;1,1,COUNTIF([1]QCI!$A$13:$A$24,ORÇAMENTO!E31)),OFFSET($D31,1,$C31,ROW($C$145)-ROW($C31)),0))</f>
        <v>0</v>
      </c>
      <c r="L31" s="42" t="e">
        <f t="shared" ca="1" si="36"/>
        <v>#VALUE!</v>
      </c>
      <c r="M31" s="43" t="s">
        <v>7</v>
      </c>
      <c r="N31" s="44" t="str">
        <f t="shared" ca="1" si="37"/>
        <v>Serviço</v>
      </c>
      <c r="O31" s="45" t="e">
        <f t="shared" ca="1" si="38"/>
        <v>#VALUE!</v>
      </c>
      <c r="P31" s="46" t="s">
        <v>62</v>
      </c>
      <c r="Q31" s="47" t="s">
        <v>98</v>
      </c>
      <c r="R31" s="48" t="s">
        <v>99</v>
      </c>
      <c r="S31" s="49" t="s">
        <v>75</v>
      </c>
      <c r="T31" s="50" t="e">
        <f ca="1">OFFSET([1]CÁLCULO!H$15,ROW($T31)-ROW(T$15),0)</f>
        <v>#VALUE!</v>
      </c>
      <c r="U31" s="51" t="e">
        <f ca="1">AG31</f>
        <v>#VALUE!</v>
      </c>
      <c r="V31" s="52" t="s">
        <v>10</v>
      </c>
      <c r="W31" s="50" t="e">
        <f ca="1">IF($C31="S",ROUND(IF(TIPOORCAMENTO="Proposto",ORÇAMENTO.CustoUnitario*(1+$AH31),ORÇAMENTO.PrecoUnitarioLicitado),15-13*$AF$10),0)</f>
        <v>#VALUE!</v>
      </c>
      <c r="X31" s="53" t="e">
        <f t="shared" ca="1" si="25"/>
        <v>#VALUE!</v>
      </c>
      <c r="Y31" s="54" t="s">
        <v>63</v>
      </c>
      <c r="Z31" t="e">
        <f t="shared" ca="1" si="39"/>
        <v>#VALUE!</v>
      </c>
      <c r="AA31" s="55" t="e">
        <f ca="1">IF($C31="S",IF($Z31="CP",$X31,IF($Z31="RA",(($X31)*[1]QCI!$AA$3),0)),SomaAgrup)</f>
        <v>#VALUE!</v>
      </c>
      <c r="AB31" s="56" t="e">
        <f t="shared" ca="1" si="26"/>
        <v>#VALUE!</v>
      </c>
      <c r="AC31" s="57" t="e">
        <f ca="1">IF($N31="","",IF(ORÇAMENTO.Descricao="","DESCRIÇÃO",IF(AND($C31="S",ORÇAMENTO.Unidade=""),"UNIDADE",IF($X31&lt;0,"VALOR NEGATIVO",IF(OR(AND(TIPOORCAMENTO="Proposto",$AG31&lt;&gt;"",$AG31&gt;0,ORÇAMENTO.CustoUnitario&gt;$AG31),AND(TIPOORCAMENTO="LICITADO",ORÇAMENTO.PrecoUnitarioLicitado&gt;$AN31)),"ACIMA REF.","")))))</f>
        <v>#VALUE!</v>
      </c>
      <c r="AD31" t="str">
        <f ca="1">IF(C31&lt;=CRONO.NivelExibicao,MAX($AD$15:OFFSET(AD31,-1,0))+IF($C31&lt;&gt;1,1,MAX(1,COUNTIF([1]QCI!$A$13:$A$24,OFFSET($E31,-1,0)))),"")</f>
        <v/>
      </c>
      <c r="AE31" s="4" t="str">
        <f ca="1">IF(AND($C31="S",ORÇAMENTO.CodBarra&lt;&gt;""),IF(ORÇAMENTO.Fonte="",ORÇAMENTO.CodBarra,CONCATENATE(ORÇAMENTO.Fonte," ",ORÇAMENTO.CodBarra)))</f>
        <v>SINAPI 103319</v>
      </c>
      <c r="AF31" s="58" t="e">
        <f ca="1">IF(ISERROR(INDIRECT(ORÇAMENTO.BancoRef)),"(abra o arquivo 'Referência "&amp;Excel_BuiltIn_Database&amp;".xls)",IF(OR($C31&lt;&gt;"S",ORÇAMENTO.CodBarra=""),"(Sem Código)",IF(ISERROR(MATCH($AE31,INDIRECT(ORÇAMENTO.BancoRef),0)),"(Código não identificado nas referências)",MATCH($AE31,INDIRECT(ORÇAMENTO.BancoRef),0))))</f>
        <v>#VALUE!</v>
      </c>
      <c r="AG31" s="59" t="e">
        <f ca="1">ROUND(IF(DESONERACAO="sim",REFERENCIA.Desonerado,REFERENCIA.NaoDesonerado),2)</f>
        <v>#VALUE!</v>
      </c>
      <c r="AH31" s="60">
        <f t="shared" si="27"/>
        <v>0.2223</v>
      </c>
      <c r="AJ31" s="61">
        <v>16.53</v>
      </c>
      <c r="AL31" s="62"/>
      <c r="AM31" s="63" t="e">
        <f t="shared" ca="1" si="0"/>
        <v>#VALUE!</v>
      </c>
      <c r="AN31" s="64" t="e">
        <f t="shared" ca="1" si="28"/>
        <v>#VALUE!</v>
      </c>
    </row>
    <row r="32" spans="1:40" x14ac:dyDescent="0.2">
      <c r="A32">
        <f t="shared" si="24"/>
        <v>3</v>
      </c>
      <c r="B32">
        <f t="shared" ca="1" si="29"/>
        <v>3</v>
      </c>
      <c r="C32">
        <f t="shared" ca="1" si="30"/>
        <v>3</v>
      </c>
      <c r="D32">
        <f t="shared" ca="1" si="31"/>
        <v>3</v>
      </c>
      <c r="E32" t="e">
        <f ca="1">IF($C32=1,OFFSET(E32,-1,0)+MAX(1,COUNTIF([1]QCI!$A$13:$A$24,OFFSET(ORÇAMENTO!E32,-1,0))),OFFSET(E32,-1,0))</f>
        <v>#VALUE!</v>
      </c>
      <c r="F32">
        <f t="shared" ca="1" si="32"/>
        <v>1</v>
      </c>
      <c r="G32">
        <f t="shared" ca="1" si="33"/>
        <v>4</v>
      </c>
      <c r="H32">
        <f t="shared" ca="1" si="34"/>
        <v>0</v>
      </c>
      <c r="I32">
        <f t="shared" ca="1" si="35"/>
        <v>0</v>
      </c>
      <c r="J32">
        <f t="shared" ca="1" si="9"/>
        <v>13</v>
      </c>
      <c r="K32">
        <f ca="1">IF(OR($C32="S",$C32=0),0,MATCH(OFFSET($D32,0,$C32)+IF($C32&lt;&gt;1,1,COUNTIF([1]QCI!$A$13:$A$24,ORÇAMENTO!E32)),OFFSET($D32,1,$C32,ROW($C$145)-ROW($C32)),0))</f>
        <v>3</v>
      </c>
      <c r="L32" s="42" t="e">
        <f t="shared" ca="1" si="36"/>
        <v>#VALUE!</v>
      </c>
      <c r="M32" s="43" t="s">
        <v>5</v>
      </c>
      <c r="N32" s="44" t="str">
        <f t="shared" ca="1" si="37"/>
        <v>Nível 3</v>
      </c>
      <c r="O32" s="45" t="e">
        <f t="shared" ca="1" si="38"/>
        <v>#VALUE!</v>
      </c>
      <c r="P32" s="46" t="s">
        <v>62</v>
      </c>
      <c r="Q32" s="47"/>
      <c r="R32" s="48" t="s">
        <v>100</v>
      </c>
      <c r="S32" s="49" t="s">
        <v>67</v>
      </c>
      <c r="T32" s="50" t="e">
        <f ca="1">OFFSET([1]CÁLCULO!H$15,ROW($T32)-ROW(T$15),0)</f>
        <v>#VALUE!</v>
      </c>
      <c r="U32" s="51"/>
      <c r="V32" s="52" t="s">
        <v>10</v>
      </c>
      <c r="W32" s="50">
        <f ca="1">IF($C32="S",ROUND(IF(TIPOORCAMENTO="Proposto",ORÇAMENTO.CustoUnitario*(1+$AH32),ORÇAMENTO.PrecoUnitarioLicitado),15-13*$AF$10),0)</f>
        <v>0</v>
      </c>
      <c r="X32" s="53" t="e">
        <f t="shared" ca="1" si="25"/>
        <v>#VALUE!</v>
      </c>
      <c r="Y32" s="54" t="s">
        <v>63</v>
      </c>
      <c r="Z32" t="e">
        <f t="shared" ca="1" si="39"/>
        <v>#VALUE!</v>
      </c>
      <c r="AA32" s="55" t="e">
        <f ca="1">IF($C32="S",IF($Z32="CP",$X32,IF($Z32="RA",(($X32)*[1]QCI!$AA$3),0)),SomaAgrup)</f>
        <v>#VALUE!</v>
      </c>
      <c r="AB32" s="56" t="e">
        <f t="shared" ca="1" si="26"/>
        <v>#VALUE!</v>
      </c>
      <c r="AC32" s="57" t="e">
        <f ca="1">IF($N32="","",IF(ORÇAMENTO.Descricao="","DESCRIÇÃO",IF(AND($C32="S",ORÇAMENTO.Unidade=""),"UNIDADE",IF($X32&lt;0,"VALOR NEGATIVO",IF(OR(AND(TIPOORCAMENTO="Proposto",$AG32&lt;&gt;"",$AG32&gt;0,ORÇAMENTO.CustoUnitario&gt;$AG32),AND(TIPOORCAMENTO="LICITADO",ORÇAMENTO.PrecoUnitarioLicitado&gt;$AN32)),"ACIMA REF.","")))))</f>
        <v>#VALUE!</v>
      </c>
      <c r="AD32" t="e">
        <f ca="1">IF(C32&lt;=CRONO.NivelExibicao,MAX($AD$15:OFFSET(AD32,-1,0))+IF($C32&lt;&gt;1,1,MAX(1,COUNTIF([1]QCI!$A$13:$A$24,OFFSET($E32,-1,0)))),"")</f>
        <v>#VALUE!</v>
      </c>
      <c r="AE32" s="4" t="b">
        <f ca="1">IF(AND($C32="S",ORÇAMENTO.CodBarra&lt;&gt;""),IF(ORÇAMENTO.Fonte="",ORÇAMENTO.CodBarra,CONCATENATE(ORÇAMENTO.Fonte," ",ORÇAMENTO.CodBarra)))</f>
        <v>0</v>
      </c>
      <c r="AF32" s="58" t="e">
        <f ca="1">IF(ISERROR(INDIRECT(ORÇAMENTO.BancoRef)),"(abra o arquivo 'Referência "&amp;Excel_BuiltIn_Database&amp;".xls)",IF(OR($C32&lt;&gt;"S",ORÇAMENTO.CodBarra=""),"(Sem Código)",IF(ISERROR(MATCH($AE32,INDIRECT(ORÇAMENTO.BancoRef),0)),"(Código não identificado nas referências)",MATCH($AE32,INDIRECT(ORÇAMENTO.BancoRef),0))))</f>
        <v>#VALUE!</v>
      </c>
      <c r="AG32" s="59" t="e">
        <f ca="1">ROUND(IF(DESONERACAO="sim",REFERENCIA.Desonerado,REFERENCIA.NaoDesonerado),2)</f>
        <v>#VALUE!</v>
      </c>
      <c r="AH32" s="60">
        <f t="shared" si="27"/>
        <v>0.2223</v>
      </c>
      <c r="AJ32" s="61"/>
      <c r="AL32" s="62"/>
      <c r="AM32" s="63" t="e">
        <f t="shared" ca="1" si="0"/>
        <v>#VALUE!</v>
      </c>
      <c r="AN32" s="64">
        <f t="shared" si="28"/>
        <v>0</v>
      </c>
    </row>
    <row r="33" spans="1:40" ht="38.25" x14ac:dyDescent="0.2">
      <c r="A33" t="str">
        <f t="shared" si="24"/>
        <v>S</v>
      </c>
      <c r="B33">
        <f t="shared" ca="1" si="29"/>
        <v>3</v>
      </c>
      <c r="C33" t="str">
        <f t="shared" ca="1" si="30"/>
        <v>S</v>
      </c>
      <c r="D33">
        <f t="shared" ca="1" si="31"/>
        <v>0</v>
      </c>
      <c r="E33" t="e">
        <f ca="1">IF($C33=1,OFFSET(E33,-1,0)+MAX(1,COUNTIF([1]QCI!$A$13:$A$24,OFFSET(ORÇAMENTO!E33,-1,0))),OFFSET(E33,-1,0))</f>
        <v>#VALUE!</v>
      </c>
      <c r="F33">
        <f t="shared" ca="1" si="32"/>
        <v>1</v>
      </c>
      <c r="G33">
        <f t="shared" ca="1" si="33"/>
        <v>4</v>
      </c>
      <c r="H33">
        <f t="shared" ca="1" si="34"/>
        <v>0</v>
      </c>
      <c r="I33" t="e">
        <f t="shared" ca="1" si="35"/>
        <v>#VALUE!</v>
      </c>
      <c r="J33">
        <f t="shared" ca="1" si="9"/>
        <v>0</v>
      </c>
      <c r="K33">
        <f ca="1">IF(OR($C33="S",$C33=0),0,MATCH(OFFSET($D33,0,$C33)+IF($C33&lt;&gt;1,1,COUNTIF([1]QCI!$A$13:$A$24,ORÇAMENTO!E33)),OFFSET($D33,1,$C33,ROW($C$145)-ROW($C33)),0))</f>
        <v>0</v>
      </c>
      <c r="L33" s="42" t="e">
        <f t="shared" ca="1" si="36"/>
        <v>#VALUE!</v>
      </c>
      <c r="M33" s="43" t="s">
        <v>7</v>
      </c>
      <c r="N33" s="44" t="str">
        <f t="shared" ca="1" si="37"/>
        <v>Serviço</v>
      </c>
      <c r="O33" s="45" t="e">
        <f t="shared" ca="1" si="38"/>
        <v>#VALUE!</v>
      </c>
      <c r="P33" s="46" t="s">
        <v>62</v>
      </c>
      <c r="Q33" s="47">
        <v>87878</v>
      </c>
      <c r="R33" s="48" t="s">
        <v>101</v>
      </c>
      <c r="S33" s="49" t="s">
        <v>75</v>
      </c>
      <c r="T33" s="50" t="e">
        <f ca="1">OFFSET([1]CÁLCULO!H$15,ROW($T33)-ROW(T$15),0)</f>
        <v>#VALUE!</v>
      </c>
      <c r="U33" s="51" t="e">
        <f ca="1">AG33</f>
        <v>#VALUE!</v>
      </c>
      <c r="V33" s="52" t="s">
        <v>10</v>
      </c>
      <c r="W33" s="50" t="e">
        <f ca="1">IF($C33="S",ROUND(IF(TIPOORCAMENTO="Proposto",ORÇAMENTO.CustoUnitario*(1+$AH33),ORÇAMENTO.PrecoUnitarioLicitado),15-13*$AF$10),0)</f>
        <v>#VALUE!</v>
      </c>
      <c r="X33" s="53" t="e">
        <f t="shared" ca="1" si="25"/>
        <v>#VALUE!</v>
      </c>
      <c r="Y33" s="54" t="s">
        <v>63</v>
      </c>
      <c r="Z33" t="e">
        <f t="shared" ca="1" si="39"/>
        <v>#VALUE!</v>
      </c>
      <c r="AA33" s="55" t="e">
        <f ca="1">IF($C33="S",IF($Z33="CP",$X33,IF($Z33="RA",(($X33)*[1]QCI!$AA$3),0)),SomaAgrup)</f>
        <v>#VALUE!</v>
      </c>
      <c r="AB33" s="56" t="e">
        <f t="shared" ca="1" si="26"/>
        <v>#VALUE!</v>
      </c>
      <c r="AC33" s="57" t="e">
        <f ca="1">IF($N33="","",IF(ORÇAMENTO.Descricao="","DESCRIÇÃO",IF(AND($C33="S",ORÇAMENTO.Unidade=""),"UNIDADE",IF($X33&lt;0,"VALOR NEGATIVO",IF(OR(AND(TIPOORCAMENTO="Proposto",$AG33&lt;&gt;"",$AG33&gt;0,ORÇAMENTO.CustoUnitario&gt;$AG33),AND(TIPOORCAMENTO="LICITADO",ORÇAMENTO.PrecoUnitarioLicitado&gt;$AN33)),"ACIMA REF.","")))))</f>
        <v>#VALUE!</v>
      </c>
      <c r="AD33" t="str">
        <f ca="1">IF(C33&lt;=CRONO.NivelExibicao,MAX($AD$15:OFFSET(AD33,-1,0))+IF($C33&lt;&gt;1,1,MAX(1,COUNTIF([1]QCI!$A$13:$A$24,OFFSET($E33,-1,0)))),"")</f>
        <v/>
      </c>
      <c r="AE33" s="4" t="str">
        <f ca="1">IF(AND($C33="S",ORÇAMENTO.CodBarra&lt;&gt;""),IF(ORÇAMENTO.Fonte="",ORÇAMENTO.CodBarra,CONCATENATE(ORÇAMENTO.Fonte," ",ORÇAMENTO.CodBarra)))</f>
        <v>SINAPI 87878</v>
      </c>
      <c r="AF33" s="58" t="e">
        <f ca="1">IF(ISERROR(INDIRECT(ORÇAMENTO.BancoRef)),"(abra o arquivo 'Referência "&amp;Excel_BuiltIn_Database&amp;".xls)",IF(OR($C33&lt;&gt;"S",ORÇAMENTO.CodBarra=""),"(Sem Código)",IF(ISERROR(MATCH($AE33,INDIRECT(ORÇAMENTO.BancoRef),0)),"(Código não identificado nas referências)",MATCH($AE33,INDIRECT(ORÇAMENTO.BancoRef),0))))</f>
        <v>#VALUE!</v>
      </c>
      <c r="AG33" s="59" t="e">
        <f ca="1">ROUND(IF(DESONERACAO="sim",REFERENCIA.Desonerado,REFERENCIA.NaoDesonerado),2)</f>
        <v>#VALUE!</v>
      </c>
      <c r="AH33" s="60">
        <f t="shared" si="27"/>
        <v>0.2223</v>
      </c>
      <c r="AJ33" s="61">
        <f>AJ31*2</f>
        <v>33.06</v>
      </c>
      <c r="AL33" s="62"/>
      <c r="AM33" s="63" t="e">
        <f t="shared" ca="1" si="0"/>
        <v>#VALUE!</v>
      </c>
      <c r="AN33" s="64" t="e">
        <f t="shared" ca="1" si="28"/>
        <v>#VALUE!</v>
      </c>
    </row>
    <row r="34" spans="1:40" ht="51" x14ac:dyDescent="0.2">
      <c r="A34" t="str">
        <f t="shared" si="24"/>
        <v>S</v>
      </c>
      <c r="B34">
        <f t="shared" ca="1" si="29"/>
        <v>3</v>
      </c>
      <c r="C34" t="str">
        <f t="shared" ca="1" si="30"/>
        <v>S</v>
      </c>
      <c r="D34">
        <f t="shared" ca="1" si="31"/>
        <v>0</v>
      </c>
      <c r="E34" t="e">
        <f ca="1">IF($C34=1,OFFSET(E34,-1,0)+MAX(1,COUNTIF([1]QCI!$A$13:$A$24,OFFSET(ORÇAMENTO!E34,-1,0))),OFFSET(E34,-1,0))</f>
        <v>#VALUE!</v>
      </c>
      <c r="F34">
        <f t="shared" ca="1" si="32"/>
        <v>1</v>
      </c>
      <c r="G34">
        <f t="shared" ca="1" si="33"/>
        <v>4</v>
      </c>
      <c r="H34">
        <f t="shared" ca="1" si="34"/>
        <v>0</v>
      </c>
      <c r="I34" t="e">
        <f t="shared" ca="1" si="35"/>
        <v>#VALUE!</v>
      </c>
      <c r="J34">
        <f t="shared" ca="1" si="9"/>
        <v>0</v>
      </c>
      <c r="K34">
        <f ca="1">IF(OR($C34="S",$C34=0),0,MATCH(OFFSET($D34,0,$C34)+IF($C34&lt;&gt;1,1,COUNTIF([1]QCI!$A$13:$A$24,ORÇAMENTO!E34)),OFFSET($D34,1,$C34,ROW($C$145)-ROW($C34)),0))</f>
        <v>0</v>
      </c>
      <c r="L34" s="42" t="e">
        <f t="shared" ca="1" si="36"/>
        <v>#VALUE!</v>
      </c>
      <c r="M34" s="43" t="s">
        <v>7</v>
      </c>
      <c r="N34" s="44" t="str">
        <f t="shared" ca="1" si="37"/>
        <v>Serviço</v>
      </c>
      <c r="O34" s="45" t="e">
        <f t="shared" ca="1" si="38"/>
        <v>#VALUE!</v>
      </c>
      <c r="P34" s="46" t="s">
        <v>62</v>
      </c>
      <c r="Q34" s="47">
        <v>87529</v>
      </c>
      <c r="R34" s="48" t="s">
        <v>102</v>
      </c>
      <c r="S34" s="49" t="s">
        <v>75</v>
      </c>
      <c r="T34" s="50" t="e">
        <f ca="1">OFFSET([1]CÁLCULO!H$15,ROW($T34)-ROW(T$15),0)</f>
        <v>#VALUE!</v>
      </c>
      <c r="U34" s="51" t="e">
        <f ca="1">AG34</f>
        <v>#VALUE!</v>
      </c>
      <c r="V34" s="52" t="s">
        <v>10</v>
      </c>
      <c r="W34" s="50" t="e">
        <f ca="1">IF($C34="S",ROUND(IF(TIPOORCAMENTO="Proposto",ORÇAMENTO.CustoUnitario*(1+$AH34),ORÇAMENTO.PrecoUnitarioLicitado),15-13*$AF$10),0)</f>
        <v>#VALUE!</v>
      </c>
      <c r="X34" s="53" t="e">
        <f t="shared" ca="1" si="25"/>
        <v>#VALUE!</v>
      </c>
      <c r="Y34" s="54" t="s">
        <v>63</v>
      </c>
      <c r="Z34" t="e">
        <f t="shared" ca="1" si="39"/>
        <v>#VALUE!</v>
      </c>
      <c r="AA34" s="55" t="e">
        <f ca="1">IF($C34="S",IF($Z34="CP",$X34,IF($Z34="RA",(($X34)*[1]QCI!$AA$3),0)),SomaAgrup)</f>
        <v>#VALUE!</v>
      </c>
      <c r="AB34" s="56" t="e">
        <f t="shared" ca="1" si="26"/>
        <v>#VALUE!</v>
      </c>
      <c r="AC34" s="57" t="e">
        <f ca="1">IF($N34="","",IF(ORÇAMENTO.Descricao="","DESCRIÇÃO",IF(AND($C34="S",ORÇAMENTO.Unidade=""),"UNIDADE",IF($X34&lt;0,"VALOR NEGATIVO",IF(OR(AND(TIPOORCAMENTO="Proposto",$AG34&lt;&gt;"",$AG34&gt;0,ORÇAMENTO.CustoUnitario&gt;$AG34),AND(TIPOORCAMENTO="LICITADO",ORÇAMENTO.PrecoUnitarioLicitado&gt;$AN34)),"ACIMA REF.","")))))</f>
        <v>#VALUE!</v>
      </c>
      <c r="AD34" t="str">
        <f ca="1">IF(C34&lt;=CRONO.NivelExibicao,MAX($AD$15:OFFSET(AD34,-1,0))+IF($C34&lt;&gt;1,1,MAX(1,COUNTIF([1]QCI!$A$13:$A$24,OFFSET($E34,-1,0)))),"")</f>
        <v/>
      </c>
      <c r="AE34" s="4" t="str">
        <f ca="1">IF(AND($C34="S",ORÇAMENTO.CodBarra&lt;&gt;""),IF(ORÇAMENTO.Fonte="",ORÇAMENTO.CodBarra,CONCATENATE(ORÇAMENTO.Fonte," ",ORÇAMENTO.CodBarra)))</f>
        <v>SINAPI 87529</v>
      </c>
      <c r="AF34" s="58" t="e">
        <f ca="1">IF(ISERROR(INDIRECT(ORÇAMENTO.BancoRef)),"(abra o arquivo 'Referência "&amp;Excel_BuiltIn_Database&amp;".xls)",IF(OR($C34&lt;&gt;"S",ORÇAMENTO.CodBarra=""),"(Sem Código)",IF(ISERROR(MATCH($AE34,INDIRECT(ORÇAMENTO.BancoRef),0)),"(Código não identificado nas referências)",MATCH($AE34,INDIRECT(ORÇAMENTO.BancoRef),0))))</f>
        <v>#VALUE!</v>
      </c>
      <c r="AG34" s="59" t="e">
        <f ca="1">ROUND(IF(DESONERACAO="sim",REFERENCIA.Desonerado,REFERENCIA.NaoDesonerado),2)</f>
        <v>#VALUE!</v>
      </c>
      <c r="AH34" s="60">
        <f t="shared" si="27"/>
        <v>0.2223</v>
      </c>
      <c r="AJ34" s="61">
        <v>33.06</v>
      </c>
      <c r="AL34" s="62"/>
      <c r="AM34" s="63" t="e">
        <f t="shared" ca="1" si="0"/>
        <v>#VALUE!</v>
      </c>
      <c r="AN34" s="64" t="e">
        <f t="shared" ca="1" si="28"/>
        <v>#VALUE!</v>
      </c>
    </row>
    <row r="35" spans="1:40" x14ac:dyDescent="0.2">
      <c r="A35">
        <f t="shared" si="24"/>
        <v>3</v>
      </c>
      <c r="B35">
        <f t="shared" ca="1" si="29"/>
        <v>3</v>
      </c>
      <c r="C35">
        <f t="shared" ca="1" si="30"/>
        <v>3</v>
      </c>
      <c r="D35">
        <f t="shared" ca="1" si="31"/>
        <v>4</v>
      </c>
      <c r="E35" t="e">
        <f ca="1">IF($C35=1,OFFSET(E35,-1,0)+MAX(1,COUNTIF([1]QCI!$A$13:$A$24,OFFSET(ORÇAMENTO!E35,-1,0))),OFFSET(E35,-1,0))</f>
        <v>#VALUE!</v>
      </c>
      <c r="F35">
        <f t="shared" ca="1" si="32"/>
        <v>1</v>
      </c>
      <c r="G35">
        <f t="shared" ca="1" si="33"/>
        <v>5</v>
      </c>
      <c r="H35">
        <f t="shared" ca="1" si="34"/>
        <v>0</v>
      </c>
      <c r="I35">
        <f t="shared" ca="1" si="35"/>
        <v>0</v>
      </c>
      <c r="J35">
        <f t="shared" ca="1" si="9"/>
        <v>10</v>
      </c>
      <c r="K35">
        <f ca="1">IF(OR($C35="S",$C35=0),0,MATCH(OFFSET($D35,0,$C35)+IF($C35&lt;&gt;1,1,COUNTIF([1]QCI!$A$13:$A$24,ORÇAMENTO!E35)),OFFSET($D35,1,$C35,ROW($C$145)-ROW($C35)),0))</f>
        <v>4</v>
      </c>
      <c r="L35" s="42" t="e">
        <f t="shared" ca="1" si="36"/>
        <v>#VALUE!</v>
      </c>
      <c r="M35" s="43" t="s">
        <v>5</v>
      </c>
      <c r="N35" s="44" t="str">
        <f t="shared" ca="1" si="37"/>
        <v>Nível 3</v>
      </c>
      <c r="O35" s="45" t="e">
        <f t="shared" ca="1" si="38"/>
        <v>#VALUE!</v>
      </c>
      <c r="P35" s="46" t="s">
        <v>62</v>
      </c>
      <c r="Q35" s="47"/>
      <c r="R35" s="48" t="s">
        <v>103</v>
      </c>
      <c r="S35" s="49" t="s">
        <v>67</v>
      </c>
      <c r="T35" s="50" t="e">
        <f ca="1">OFFSET([1]CÁLCULO!H$15,ROW($T35)-ROW(T$15),0)</f>
        <v>#VALUE!</v>
      </c>
      <c r="U35" s="51"/>
      <c r="V35" s="52" t="s">
        <v>10</v>
      </c>
      <c r="W35" s="50">
        <f ca="1">IF($C35="S",ROUND(IF(TIPOORCAMENTO="Proposto",ORÇAMENTO.CustoUnitario*(1+$AH35),ORÇAMENTO.PrecoUnitarioLicitado),15-13*$AF$10),0)</f>
        <v>0</v>
      </c>
      <c r="X35" s="53" t="e">
        <f t="shared" ca="1" si="25"/>
        <v>#VALUE!</v>
      </c>
      <c r="Y35" s="54" t="s">
        <v>63</v>
      </c>
      <c r="Z35" t="e">
        <f t="shared" ca="1" si="39"/>
        <v>#VALUE!</v>
      </c>
      <c r="AA35" s="55" t="e">
        <f ca="1">IF($C35="S",IF($Z35="CP",$X35,IF($Z35="RA",(($X35)*[1]QCI!$AA$3),0)),SomaAgrup)</f>
        <v>#VALUE!</v>
      </c>
      <c r="AB35" s="56" t="e">
        <f t="shared" ca="1" si="26"/>
        <v>#VALUE!</v>
      </c>
      <c r="AC35" s="57" t="e">
        <f ca="1">IF($N35="","",IF(ORÇAMENTO.Descricao="","DESCRIÇÃO",IF(AND($C35="S",ORÇAMENTO.Unidade=""),"UNIDADE",IF($X35&lt;0,"VALOR NEGATIVO",IF(OR(AND(TIPOORCAMENTO="Proposto",$AG35&lt;&gt;"",$AG35&gt;0,ORÇAMENTO.CustoUnitario&gt;$AG35),AND(TIPOORCAMENTO="LICITADO",ORÇAMENTO.PrecoUnitarioLicitado&gt;$AN35)),"ACIMA REF.","")))))</f>
        <v>#VALUE!</v>
      </c>
      <c r="AD35" t="e">
        <f ca="1">IF(C35&lt;=CRONO.NivelExibicao,MAX($AD$15:OFFSET(AD35,-1,0))+IF($C35&lt;&gt;1,1,MAX(1,COUNTIF([1]QCI!$A$13:$A$24,OFFSET($E35,-1,0)))),"")</f>
        <v>#VALUE!</v>
      </c>
      <c r="AE35" s="4" t="b">
        <f ca="1">IF(AND($C35="S",ORÇAMENTO.CodBarra&lt;&gt;""),IF(ORÇAMENTO.Fonte="",ORÇAMENTO.CodBarra,CONCATENATE(ORÇAMENTO.Fonte," ",ORÇAMENTO.CodBarra)))</f>
        <v>0</v>
      </c>
      <c r="AF35" s="58" t="e">
        <f ca="1">IF(ISERROR(INDIRECT(ORÇAMENTO.BancoRef)),"(abra o arquivo 'Referência "&amp;Excel_BuiltIn_Database&amp;".xls)",IF(OR($C35&lt;&gt;"S",ORÇAMENTO.CodBarra=""),"(Sem Código)",IF(ISERROR(MATCH($AE35,INDIRECT(ORÇAMENTO.BancoRef),0)),"(Código não identificado nas referências)",MATCH($AE35,INDIRECT(ORÇAMENTO.BancoRef),0))))</f>
        <v>#VALUE!</v>
      </c>
      <c r="AG35" s="59" t="e">
        <f ca="1">ROUND(IF(DESONERACAO="sim",REFERENCIA.Desonerado,REFERENCIA.NaoDesonerado),2)</f>
        <v>#VALUE!</v>
      </c>
      <c r="AH35" s="60">
        <f t="shared" si="27"/>
        <v>0.2223</v>
      </c>
      <c r="AJ35" s="61"/>
      <c r="AL35" s="62"/>
      <c r="AM35" s="63" t="e">
        <f t="shared" ca="1" si="0"/>
        <v>#VALUE!</v>
      </c>
      <c r="AN35" s="64">
        <f t="shared" si="28"/>
        <v>0</v>
      </c>
    </row>
    <row r="36" spans="1:40" ht="51" x14ac:dyDescent="0.2">
      <c r="A36" t="str">
        <f t="shared" si="24"/>
        <v>S</v>
      </c>
      <c r="B36">
        <f t="shared" ca="1" si="29"/>
        <v>3</v>
      </c>
      <c r="C36" t="str">
        <f t="shared" ca="1" si="30"/>
        <v>S</v>
      </c>
      <c r="D36">
        <f t="shared" ca="1" si="31"/>
        <v>0</v>
      </c>
      <c r="E36" t="e">
        <f ca="1">IF($C36=1,OFFSET(E36,-1,0)+MAX(1,COUNTIF([1]QCI!$A$13:$A$24,OFFSET(ORÇAMENTO!E36,-1,0))),OFFSET(E36,-1,0))</f>
        <v>#VALUE!</v>
      </c>
      <c r="F36">
        <f t="shared" ca="1" si="32"/>
        <v>1</v>
      </c>
      <c r="G36">
        <f t="shared" ca="1" si="33"/>
        <v>5</v>
      </c>
      <c r="H36">
        <f t="shared" ca="1" si="34"/>
        <v>0</v>
      </c>
      <c r="I36" t="e">
        <f t="shared" ca="1" si="35"/>
        <v>#VALUE!</v>
      </c>
      <c r="J36">
        <f t="shared" ca="1" si="9"/>
        <v>0</v>
      </c>
      <c r="K36">
        <f ca="1">IF(OR($C36="S",$C36=0),0,MATCH(OFFSET($D36,0,$C36)+IF($C36&lt;&gt;1,1,COUNTIF([1]QCI!$A$13:$A$24,ORÇAMENTO!E36)),OFFSET($D36,1,$C36,ROW($C$145)-ROW($C36)),0))</f>
        <v>0</v>
      </c>
      <c r="L36" s="42" t="e">
        <f t="shared" ca="1" si="36"/>
        <v>#VALUE!</v>
      </c>
      <c r="M36" s="43" t="s">
        <v>7</v>
      </c>
      <c r="N36" s="44" t="str">
        <f t="shared" ca="1" si="37"/>
        <v>Serviço</v>
      </c>
      <c r="O36" s="45" t="e">
        <f t="shared" ca="1" si="38"/>
        <v>#VALUE!</v>
      </c>
      <c r="P36" s="46" t="s">
        <v>62</v>
      </c>
      <c r="Q36" s="47">
        <v>25398</v>
      </c>
      <c r="R36" s="48" t="s">
        <v>104</v>
      </c>
      <c r="S36" s="49" t="s">
        <v>105</v>
      </c>
      <c r="T36" s="50" t="e">
        <f ca="1">OFFSET([1]CÁLCULO!H$15,ROW($T36)-ROW(T$15),0)</f>
        <v>#VALUE!</v>
      </c>
      <c r="U36" s="51">
        <v>5157.47</v>
      </c>
      <c r="V36" s="52" t="s">
        <v>10</v>
      </c>
      <c r="W36" s="50">
        <f ca="1">IF($C36="S",ROUND(IF(TIPOORCAMENTO="Proposto",ORÇAMENTO.CustoUnitario*(1+$AH36),ORÇAMENTO.PrecoUnitarioLicitado),15-13*$AF$10),0)</f>
        <v>6303.9755809999997</v>
      </c>
      <c r="X36" s="53" t="e">
        <f t="shared" ca="1" si="25"/>
        <v>#VALUE!</v>
      </c>
      <c r="Y36" s="54" t="s">
        <v>63</v>
      </c>
      <c r="Z36" t="e">
        <f t="shared" ca="1" si="39"/>
        <v>#VALUE!</v>
      </c>
      <c r="AA36" s="55" t="e">
        <f ca="1">IF($C36="S",IF($Z36="CP",$X36,IF($Z36="RA",(($X36)*[1]QCI!$AA$3),0)),SomaAgrup)</f>
        <v>#VALUE!</v>
      </c>
      <c r="AB36" s="56" t="e">
        <f t="shared" ca="1" si="26"/>
        <v>#VALUE!</v>
      </c>
      <c r="AC36" s="57" t="e">
        <f ca="1">IF($N36="","",IF(ORÇAMENTO.Descricao="","DESCRIÇÃO",IF(AND($C36="S",ORÇAMENTO.Unidade=""),"UNIDADE",IF($X36&lt;0,"VALOR NEGATIVO",IF(OR(AND(TIPOORCAMENTO="Proposto",$AG36&lt;&gt;"",$AG36&gt;0,ORÇAMENTO.CustoUnitario&gt;$AG36),AND(TIPOORCAMENTO="LICITADO",ORÇAMENTO.PrecoUnitarioLicitado&gt;$AN36)),"ACIMA REF.","")))))</f>
        <v>#VALUE!</v>
      </c>
      <c r="AD36" t="str">
        <f ca="1">IF(C36&lt;=CRONO.NivelExibicao,MAX($AD$15:OFFSET(AD36,-1,0))+IF($C36&lt;&gt;1,1,MAX(1,COUNTIF([1]QCI!$A$13:$A$24,OFFSET($E36,-1,0)))),"")</f>
        <v/>
      </c>
      <c r="AE36" s="4" t="str">
        <f ca="1">IF(AND($C36="S",ORÇAMENTO.CodBarra&lt;&gt;""),IF(ORÇAMENTO.Fonte="",ORÇAMENTO.CodBarra,CONCATENATE(ORÇAMENTO.Fonte," ",ORÇAMENTO.CodBarra)))</f>
        <v>SINAPI 25398</v>
      </c>
      <c r="AF36" s="58" t="e">
        <f ca="1">IF(ISERROR(INDIRECT(ORÇAMENTO.BancoRef)),"(abra o arquivo 'Referência "&amp;Excel_BuiltIn_Database&amp;".xls)",IF(OR($C36&lt;&gt;"S",ORÇAMENTO.CodBarra=""),"(Sem Código)",IF(ISERROR(MATCH($AE36,INDIRECT(ORÇAMENTO.BancoRef),0)),"(Código não identificado nas referências)",MATCH($AE36,INDIRECT(ORÇAMENTO.BancoRef),0))))</f>
        <v>#VALUE!</v>
      </c>
      <c r="AG36" s="59" t="e">
        <f ca="1">ROUND(IF(DESONERACAO="sim",REFERENCIA.Desonerado,REFERENCIA.NaoDesonerado),2)</f>
        <v>#VALUE!</v>
      </c>
      <c r="AH36" s="60">
        <f t="shared" si="27"/>
        <v>0.2223</v>
      </c>
      <c r="AJ36" s="61">
        <v>1</v>
      </c>
      <c r="AL36" s="62"/>
      <c r="AM36" s="63" t="e">
        <f t="shared" ca="1" si="0"/>
        <v>#VALUE!</v>
      </c>
      <c r="AN36" s="64">
        <f t="shared" si="28"/>
        <v>6303.98</v>
      </c>
    </row>
    <row r="37" spans="1:40" x14ac:dyDescent="0.2">
      <c r="A37" t="str">
        <f t="shared" si="24"/>
        <v>S</v>
      </c>
      <c r="B37">
        <f t="shared" ca="1" si="29"/>
        <v>3</v>
      </c>
      <c r="C37" t="str">
        <f t="shared" ca="1" si="30"/>
        <v>S</v>
      </c>
      <c r="D37">
        <f t="shared" ca="1" si="31"/>
        <v>0</v>
      </c>
      <c r="E37" t="e">
        <f ca="1">IF($C37=1,OFFSET(E37,-1,0)+MAX(1,COUNTIF([1]QCI!$A$13:$A$24,OFFSET(ORÇAMENTO!E37,-1,0))),OFFSET(E37,-1,0))</f>
        <v>#VALUE!</v>
      </c>
      <c r="F37">
        <f t="shared" ca="1" si="32"/>
        <v>1</v>
      </c>
      <c r="G37">
        <f t="shared" ca="1" si="33"/>
        <v>5</v>
      </c>
      <c r="H37">
        <f t="shared" ca="1" si="34"/>
        <v>0</v>
      </c>
      <c r="I37" t="e">
        <f t="shared" ca="1" si="35"/>
        <v>#VALUE!</v>
      </c>
      <c r="J37">
        <f t="shared" ca="1" si="9"/>
        <v>0</v>
      </c>
      <c r="K37">
        <f ca="1">IF(OR($C37="S",$C37=0),0,MATCH(OFFSET($D37,0,$C37)+IF($C37&lt;&gt;1,1,COUNTIF([1]QCI!$A$13:$A$24,ORÇAMENTO!E37)),OFFSET($D37,1,$C37,ROW($C$145)-ROW($C37)),0))</f>
        <v>0</v>
      </c>
      <c r="L37" s="42" t="e">
        <f t="shared" ca="1" si="36"/>
        <v>#VALUE!</v>
      </c>
      <c r="M37" s="43" t="s">
        <v>7</v>
      </c>
      <c r="N37" s="44" t="str">
        <f t="shared" ca="1" si="37"/>
        <v>Serviço</v>
      </c>
      <c r="O37" s="45" t="e">
        <f t="shared" ca="1" si="38"/>
        <v>#VALUE!</v>
      </c>
      <c r="P37" s="46" t="s">
        <v>62</v>
      </c>
      <c r="Q37" s="47" t="s">
        <v>106</v>
      </c>
      <c r="R37" s="48" t="s">
        <v>107</v>
      </c>
      <c r="S37" s="49" t="s">
        <v>75</v>
      </c>
      <c r="T37" s="50" t="e">
        <f ca="1">OFFSET([1]CÁLCULO!H$15,ROW($T37)-ROW(T$15),0)</f>
        <v>#VALUE!</v>
      </c>
      <c r="U37" s="51">
        <v>9.26</v>
      </c>
      <c r="V37" s="52" t="s">
        <v>10</v>
      </c>
      <c r="W37" s="50">
        <f ca="1">IF($C37="S",ROUND(IF(TIPOORCAMENTO="Proposto",ORÇAMENTO.CustoUnitario*(1+$AH37),ORÇAMENTO.PrecoUnitarioLicitado),15-13*$AF$10),0)</f>
        <v>11.318498</v>
      </c>
      <c r="X37" s="53" t="e">
        <f t="shared" ca="1" si="25"/>
        <v>#VALUE!</v>
      </c>
      <c r="Y37" s="54" t="s">
        <v>63</v>
      </c>
      <c r="Z37" t="e">
        <f t="shared" ca="1" si="39"/>
        <v>#VALUE!</v>
      </c>
      <c r="AA37" s="55" t="e">
        <f ca="1">IF($C37="S",IF($Z37="CP",$X37,IF($Z37="RA",(($X37)*[1]QCI!$AA$3),0)),SomaAgrup)</f>
        <v>#VALUE!</v>
      </c>
      <c r="AB37" s="56" t="e">
        <f t="shared" ca="1" si="26"/>
        <v>#VALUE!</v>
      </c>
      <c r="AC37" s="57" t="e">
        <f ca="1">IF($N37="","",IF(ORÇAMENTO.Descricao="","DESCRIÇÃO",IF(AND($C37="S",ORÇAMENTO.Unidade=""),"UNIDADE",IF($X37&lt;0,"VALOR NEGATIVO",IF(OR(AND(TIPOORCAMENTO="Proposto",$AG37&lt;&gt;"",$AG37&gt;0,ORÇAMENTO.CustoUnitario&gt;$AG37),AND(TIPOORCAMENTO="LICITADO",ORÇAMENTO.PrecoUnitarioLicitado&gt;$AN37)),"ACIMA REF.","")))))</f>
        <v>#VALUE!</v>
      </c>
      <c r="AD37" t="str">
        <f ca="1">IF(C37&lt;=CRONO.NivelExibicao,MAX($AD$15:OFFSET(AD37,-1,0))+IF($C37&lt;&gt;1,1,MAX(1,COUNTIF([1]QCI!$A$13:$A$24,OFFSET($E37,-1,0)))),"")</f>
        <v/>
      </c>
      <c r="AE37" s="4" t="str">
        <f ca="1">IF(AND($C37="S",ORÇAMENTO.CodBarra&lt;&gt;""),IF(ORÇAMENTO.Fonte="",ORÇAMENTO.CodBarra,CONCATENATE(ORÇAMENTO.Fonte," ",ORÇAMENTO.CodBarra)))</f>
        <v>SINAPI deinfra 43870</v>
      </c>
      <c r="AF37" s="58" t="e">
        <f ca="1">IF(ISERROR(INDIRECT(ORÇAMENTO.BancoRef)),"(abra o arquivo 'Referência "&amp;Excel_BuiltIn_Database&amp;".xls)",IF(OR($C37&lt;&gt;"S",ORÇAMENTO.CodBarra=""),"(Sem Código)",IF(ISERROR(MATCH($AE37,INDIRECT(ORÇAMENTO.BancoRef),0)),"(Código não identificado nas referências)",MATCH($AE37,INDIRECT(ORÇAMENTO.BancoRef),0))))</f>
        <v>#VALUE!</v>
      </c>
      <c r="AG37" s="59" t="e">
        <f ca="1">ROUND(IF(DESONERACAO="sim",REFERENCIA.Desonerado,REFERENCIA.NaoDesonerado),2)</f>
        <v>#VALUE!</v>
      </c>
      <c r="AH37" s="60">
        <f t="shared" si="27"/>
        <v>0.2223</v>
      </c>
      <c r="AJ37" s="61">
        <v>469.35</v>
      </c>
      <c r="AL37" s="62"/>
      <c r="AM37" s="63" t="e">
        <f t="shared" ca="1" si="0"/>
        <v>#VALUE!</v>
      </c>
      <c r="AN37" s="64">
        <f t="shared" si="28"/>
        <v>11.32</v>
      </c>
    </row>
    <row r="38" spans="1:40" ht="25.5" x14ac:dyDescent="0.2">
      <c r="A38" t="str">
        <f t="shared" si="24"/>
        <v>S</v>
      </c>
      <c r="B38">
        <f t="shared" ca="1" si="29"/>
        <v>3</v>
      </c>
      <c r="C38" t="str">
        <f t="shared" ca="1" si="30"/>
        <v>S</v>
      </c>
      <c r="D38">
        <f t="shared" ca="1" si="31"/>
        <v>0</v>
      </c>
      <c r="E38" t="e">
        <f ca="1">IF($C38=1,OFFSET(E38,-1,0)+MAX(1,COUNTIF([1]QCI!$A$13:$A$24,OFFSET(ORÇAMENTO!E38,-1,0))),OFFSET(E38,-1,0))</f>
        <v>#VALUE!</v>
      </c>
      <c r="F38">
        <f t="shared" ca="1" si="32"/>
        <v>1</v>
      </c>
      <c r="G38">
        <f t="shared" ca="1" si="33"/>
        <v>5</v>
      </c>
      <c r="H38">
        <f t="shared" ca="1" si="34"/>
        <v>0</v>
      </c>
      <c r="I38" t="e">
        <f t="shared" ca="1" si="35"/>
        <v>#VALUE!</v>
      </c>
      <c r="J38">
        <f t="shared" ca="1" si="9"/>
        <v>0</v>
      </c>
      <c r="K38">
        <f ca="1">IF(OR($C38="S",$C38=0),0,MATCH(OFFSET($D38,0,$C38)+IF($C38&lt;&gt;1,1,COUNTIF([1]QCI!$A$13:$A$24,ORÇAMENTO!E38)),OFFSET($D38,1,$C38,ROW($C$145)-ROW($C38)),0))</f>
        <v>0</v>
      </c>
      <c r="L38" s="42" t="e">
        <f t="shared" ca="1" si="36"/>
        <v>#VALUE!</v>
      </c>
      <c r="M38" s="43" t="s">
        <v>7</v>
      </c>
      <c r="N38" s="44" t="str">
        <f t="shared" ca="1" si="37"/>
        <v>Serviço</v>
      </c>
      <c r="O38" s="45" t="e">
        <f t="shared" ca="1" si="38"/>
        <v>#VALUE!</v>
      </c>
      <c r="P38" s="46" t="s">
        <v>62</v>
      </c>
      <c r="Q38" s="47" t="s">
        <v>108</v>
      </c>
      <c r="R38" s="48" t="s">
        <v>109</v>
      </c>
      <c r="S38" s="49" t="s">
        <v>96</v>
      </c>
      <c r="T38" s="50" t="e">
        <f ca="1">OFFSET([1]CÁLCULO!H$15,ROW($T38)-ROW(T$15),0)</f>
        <v>#VALUE!</v>
      </c>
      <c r="U38" s="51">
        <v>180</v>
      </c>
      <c r="V38" s="52" t="s">
        <v>10</v>
      </c>
      <c r="W38" s="50">
        <f ca="1">IF($C38="S",ROUND(IF(TIPOORCAMENTO="Proposto",ORÇAMENTO.CustoUnitario*(1+$AH38),ORÇAMENTO.PrecoUnitarioLicitado),15-13*$AF$10),0)</f>
        <v>220.01400000000001</v>
      </c>
      <c r="X38" s="53" t="e">
        <f t="shared" ca="1" si="25"/>
        <v>#VALUE!</v>
      </c>
      <c r="Y38" s="54" t="s">
        <v>63</v>
      </c>
      <c r="Z38" t="e">
        <f t="shared" ca="1" si="39"/>
        <v>#VALUE!</v>
      </c>
      <c r="AA38" s="55" t="e">
        <f ca="1">IF($C38="S",IF($Z38="CP",$X38,IF($Z38="RA",(($X38)*[1]QCI!$AA$3),0)),SomaAgrup)</f>
        <v>#VALUE!</v>
      </c>
      <c r="AB38" s="56" t="e">
        <f t="shared" ca="1" si="26"/>
        <v>#VALUE!</v>
      </c>
      <c r="AC38" s="57" t="e">
        <f ca="1">IF($N38="","",IF(ORÇAMENTO.Descricao="","DESCRIÇÃO",IF(AND($C38="S",ORÇAMENTO.Unidade=""),"UNIDADE",IF($X38&lt;0,"VALOR NEGATIVO",IF(OR(AND(TIPOORCAMENTO="Proposto",$AG38&lt;&gt;"",$AG38&gt;0,ORÇAMENTO.CustoUnitario&gt;$AG38),AND(TIPOORCAMENTO="LICITADO",ORÇAMENTO.PrecoUnitarioLicitado&gt;$AN38)),"ACIMA REF.","")))))</f>
        <v>#VALUE!</v>
      </c>
      <c r="AD38" t="str">
        <f ca="1">IF(C38&lt;=CRONO.NivelExibicao,MAX($AD$15:OFFSET(AD38,-1,0))+IF($C38&lt;&gt;1,1,MAX(1,COUNTIF([1]QCI!$A$13:$A$24,OFFSET($E38,-1,0)))),"")</f>
        <v/>
      </c>
      <c r="AE38" s="4" t="str">
        <f ca="1">IF(AND($C38="S",ORÇAMENTO.CodBarra&lt;&gt;""),IF(ORÇAMENTO.Fonte="",ORÇAMENTO.CodBarra,CONCATENATE(ORÇAMENTO.Fonte," ",ORÇAMENTO.CodBarra)))</f>
        <v>SINAPI 03</v>
      </c>
      <c r="AF38" s="58" t="e">
        <f ca="1">IF(ISERROR(INDIRECT(ORÇAMENTO.BancoRef)),"(abra o arquivo 'Referência "&amp;Excel_BuiltIn_Database&amp;".xls)",IF(OR($C38&lt;&gt;"S",ORÇAMENTO.CodBarra=""),"(Sem Código)",IF(ISERROR(MATCH($AE38,INDIRECT(ORÇAMENTO.BancoRef),0)),"(Código não identificado nas referências)",MATCH($AE38,INDIRECT(ORÇAMENTO.BancoRef),0))))</f>
        <v>#VALUE!</v>
      </c>
      <c r="AG38" s="59" t="e">
        <f ca="1">ROUND(IF(DESONERACAO="sim",REFERENCIA.Desonerado,REFERENCIA.NaoDesonerado),2)</f>
        <v>#VALUE!</v>
      </c>
      <c r="AH38" s="60">
        <f t="shared" si="27"/>
        <v>0.2223</v>
      </c>
      <c r="AJ38" s="61">
        <v>240</v>
      </c>
      <c r="AL38" s="62"/>
      <c r="AM38" s="63" t="e">
        <f t="shared" ca="1" si="0"/>
        <v>#VALUE!</v>
      </c>
      <c r="AN38" s="64">
        <f t="shared" si="28"/>
        <v>220.01</v>
      </c>
    </row>
    <row r="39" spans="1:40" x14ac:dyDescent="0.2">
      <c r="A39">
        <f t="shared" si="24"/>
        <v>3</v>
      </c>
      <c r="B39">
        <f t="shared" ca="1" si="29"/>
        <v>3</v>
      </c>
      <c r="C39">
        <f t="shared" ca="1" si="30"/>
        <v>3</v>
      </c>
      <c r="D39">
        <f t="shared" ca="1" si="31"/>
        <v>2</v>
      </c>
      <c r="E39" t="e">
        <f ca="1">IF($C39=1,OFFSET(E39,-1,0)+MAX(1,COUNTIF([1]QCI!$A$13:$A$24,OFFSET(ORÇAMENTO!E39,-1,0))),OFFSET(E39,-1,0))</f>
        <v>#VALUE!</v>
      </c>
      <c r="F39">
        <f t="shared" ca="1" si="32"/>
        <v>1</v>
      </c>
      <c r="G39">
        <f t="shared" ca="1" si="33"/>
        <v>6</v>
      </c>
      <c r="H39">
        <f t="shared" ca="1" si="34"/>
        <v>0</v>
      </c>
      <c r="I39">
        <f t="shared" ca="1" si="35"/>
        <v>0</v>
      </c>
      <c r="J39">
        <f t="shared" ca="1" si="9"/>
        <v>6</v>
      </c>
      <c r="K39">
        <f ca="1">IF(OR($C39="S",$C39=0),0,MATCH(OFFSET($D39,0,$C39)+IF($C39&lt;&gt;1,1,COUNTIF([1]QCI!$A$13:$A$24,ORÇAMENTO!E39)),OFFSET($D39,1,$C39,ROW($C$145)-ROW($C39)),0))</f>
        <v>2</v>
      </c>
      <c r="L39" s="42" t="e">
        <f t="shared" ca="1" si="36"/>
        <v>#VALUE!</v>
      </c>
      <c r="M39" s="43" t="s">
        <v>5</v>
      </c>
      <c r="N39" s="44" t="str">
        <f t="shared" ca="1" si="37"/>
        <v>Nível 3</v>
      </c>
      <c r="O39" s="45" t="e">
        <f t="shared" ca="1" si="38"/>
        <v>#VALUE!</v>
      </c>
      <c r="P39" s="46" t="s">
        <v>62</v>
      </c>
      <c r="Q39" s="47"/>
      <c r="R39" s="48" t="s">
        <v>110</v>
      </c>
      <c r="S39" s="49" t="s">
        <v>67</v>
      </c>
      <c r="T39" s="50" t="e">
        <f ca="1">OFFSET([1]CÁLCULO!H$15,ROW($T39)-ROW(T$15),0)</f>
        <v>#VALUE!</v>
      </c>
      <c r="U39" s="51"/>
      <c r="V39" s="52" t="s">
        <v>10</v>
      </c>
      <c r="W39" s="50">
        <f ca="1">IF($C39="S",ROUND(IF(TIPOORCAMENTO="Proposto",ORÇAMENTO.CustoUnitario*(1+$AH39),ORÇAMENTO.PrecoUnitarioLicitado),15-13*$AF$10),0)</f>
        <v>0</v>
      </c>
      <c r="X39" s="53" t="e">
        <f t="shared" ca="1" si="25"/>
        <v>#VALUE!</v>
      </c>
      <c r="Y39" s="54" t="s">
        <v>63</v>
      </c>
      <c r="Z39" t="e">
        <f t="shared" ca="1" si="39"/>
        <v>#VALUE!</v>
      </c>
      <c r="AA39" s="55" t="e">
        <f ca="1">IF($C39="S",IF($Z39="CP",$X39,IF($Z39="RA",(($X39)*[1]QCI!$AA$3),0)),SomaAgrup)</f>
        <v>#VALUE!</v>
      </c>
      <c r="AB39" s="56" t="e">
        <f t="shared" ca="1" si="26"/>
        <v>#VALUE!</v>
      </c>
      <c r="AC39" s="57" t="e">
        <f ca="1">IF($N39="","",IF(ORÇAMENTO.Descricao="","DESCRIÇÃO",IF(AND($C39="S",ORÇAMENTO.Unidade=""),"UNIDADE",IF($X39&lt;0,"VALOR NEGATIVO",IF(OR(AND(TIPOORCAMENTO="Proposto",$AG39&lt;&gt;"",$AG39&gt;0,ORÇAMENTO.CustoUnitario&gt;$AG39),AND(TIPOORCAMENTO="LICITADO",ORÇAMENTO.PrecoUnitarioLicitado&gt;$AN39)),"ACIMA REF.","")))))</f>
        <v>#VALUE!</v>
      </c>
      <c r="AD39" t="e">
        <f ca="1">IF(C39&lt;=CRONO.NivelExibicao,MAX($AD$15:OFFSET(AD39,-1,0))+IF($C39&lt;&gt;1,1,MAX(1,COUNTIF([1]QCI!$A$13:$A$24,OFFSET($E39,-1,0)))),"")</f>
        <v>#VALUE!</v>
      </c>
      <c r="AE39" s="4" t="b">
        <f ca="1">IF(AND($C39="S",ORÇAMENTO.CodBarra&lt;&gt;""),IF(ORÇAMENTO.Fonte="",ORÇAMENTO.CodBarra,CONCATENATE(ORÇAMENTO.Fonte," ",ORÇAMENTO.CodBarra)))</f>
        <v>0</v>
      </c>
      <c r="AF39" s="58" t="e">
        <f ca="1">IF(ISERROR(INDIRECT(ORÇAMENTO.BancoRef)),"(abra o arquivo 'Referência "&amp;Excel_BuiltIn_Database&amp;".xls)",IF(OR($C39&lt;&gt;"S",ORÇAMENTO.CodBarra=""),"(Sem Código)",IF(ISERROR(MATCH($AE39,INDIRECT(ORÇAMENTO.BancoRef),0)),"(Código não identificado nas referências)",MATCH($AE39,INDIRECT(ORÇAMENTO.BancoRef),0))))</f>
        <v>#VALUE!</v>
      </c>
      <c r="AG39" s="59" t="e">
        <f ca="1">ROUND(IF(DESONERACAO="sim",REFERENCIA.Desonerado,REFERENCIA.NaoDesonerado),2)</f>
        <v>#VALUE!</v>
      </c>
      <c r="AH39" s="60">
        <f t="shared" si="27"/>
        <v>0.2223</v>
      </c>
      <c r="AJ39" s="61"/>
      <c r="AL39" s="62"/>
      <c r="AM39" s="63" t="e">
        <f t="shared" ca="1" si="0"/>
        <v>#VALUE!</v>
      </c>
      <c r="AN39" s="64">
        <f t="shared" si="28"/>
        <v>0</v>
      </c>
    </row>
    <row r="40" spans="1:40" ht="38.25" x14ac:dyDescent="0.2">
      <c r="A40" t="str">
        <f t="shared" si="24"/>
        <v>S</v>
      </c>
      <c r="B40">
        <f t="shared" ca="1" si="29"/>
        <v>3</v>
      </c>
      <c r="C40" t="str">
        <f t="shared" ca="1" si="30"/>
        <v>S</v>
      </c>
      <c r="D40">
        <f t="shared" ca="1" si="31"/>
        <v>0</v>
      </c>
      <c r="E40" t="e">
        <f ca="1">IF($C40=1,OFFSET(E40,-1,0)+MAX(1,COUNTIF([1]QCI!$A$13:$A$24,OFFSET(ORÇAMENTO!E40,-1,0))),OFFSET(E40,-1,0))</f>
        <v>#VALUE!</v>
      </c>
      <c r="F40">
        <f t="shared" ca="1" si="32"/>
        <v>1</v>
      </c>
      <c r="G40">
        <f t="shared" ca="1" si="33"/>
        <v>6</v>
      </c>
      <c r="H40">
        <f t="shared" ca="1" si="34"/>
        <v>0</v>
      </c>
      <c r="I40" t="e">
        <f t="shared" ca="1" si="35"/>
        <v>#VALUE!</v>
      </c>
      <c r="J40">
        <f t="shared" ca="1" si="9"/>
        <v>0</v>
      </c>
      <c r="K40">
        <f ca="1">IF(OR($C40="S",$C40=0),0,MATCH(OFFSET($D40,0,$C40)+IF($C40&lt;&gt;1,1,COUNTIF([1]QCI!$A$13:$A$24,ORÇAMENTO!E40)),OFFSET($D40,1,$C40,ROW($C$145)-ROW($C40)),0))</f>
        <v>0</v>
      </c>
      <c r="L40" s="42" t="e">
        <f t="shared" ca="1" si="36"/>
        <v>#VALUE!</v>
      </c>
      <c r="M40" s="43" t="s">
        <v>7</v>
      </c>
      <c r="N40" s="44" t="str">
        <f t="shared" ca="1" si="37"/>
        <v>Serviço</v>
      </c>
      <c r="O40" s="45" t="e">
        <f t="shared" ca="1" si="38"/>
        <v>#VALUE!</v>
      </c>
      <c r="P40" s="46" t="s">
        <v>62</v>
      </c>
      <c r="Q40" s="47">
        <v>91341</v>
      </c>
      <c r="R40" s="48" t="s">
        <v>111</v>
      </c>
      <c r="S40" s="49" t="s">
        <v>75</v>
      </c>
      <c r="T40" s="50" t="e">
        <f ca="1">OFFSET([1]CÁLCULO!H$15,ROW($T40)-ROW(T$15),0)</f>
        <v>#VALUE!</v>
      </c>
      <c r="U40" s="51" t="e">
        <f ca="1">AG40</f>
        <v>#VALUE!</v>
      </c>
      <c r="V40" s="52" t="s">
        <v>10</v>
      </c>
      <c r="W40" s="50" t="e">
        <f ca="1">IF($C40="S",ROUND(IF(TIPOORCAMENTO="Proposto",ORÇAMENTO.CustoUnitario*(1+$AH40),ORÇAMENTO.PrecoUnitarioLicitado),15-13*$AF$10),0)</f>
        <v>#VALUE!</v>
      </c>
      <c r="X40" s="53" t="e">
        <f t="shared" ca="1" si="25"/>
        <v>#VALUE!</v>
      </c>
      <c r="Y40" s="54" t="s">
        <v>63</v>
      </c>
      <c r="Z40" t="e">
        <f t="shared" ca="1" si="39"/>
        <v>#VALUE!</v>
      </c>
      <c r="AA40" s="55" t="e">
        <f ca="1">IF($C40="S",IF($Z40="CP",$X40,IF($Z40="RA",(($X40)*[1]QCI!$AA$3),0)),SomaAgrup)</f>
        <v>#VALUE!</v>
      </c>
      <c r="AB40" s="56" t="e">
        <f t="shared" ca="1" si="26"/>
        <v>#VALUE!</v>
      </c>
      <c r="AC40" s="57" t="e">
        <f ca="1">IF($N40="","",IF(ORÇAMENTO.Descricao="","DESCRIÇÃO",IF(AND($C40="S",ORÇAMENTO.Unidade=""),"UNIDADE",IF($X40&lt;0,"VALOR NEGATIVO",IF(OR(AND(TIPOORCAMENTO="Proposto",$AG40&lt;&gt;"",$AG40&gt;0,ORÇAMENTO.CustoUnitario&gt;$AG40),AND(TIPOORCAMENTO="LICITADO",ORÇAMENTO.PrecoUnitarioLicitado&gt;$AN40)),"ACIMA REF.","")))))</f>
        <v>#VALUE!</v>
      </c>
      <c r="AD40" t="str">
        <f ca="1">IF(C40&lt;=CRONO.NivelExibicao,MAX($AD$15:OFFSET(AD40,-1,0))+IF($C40&lt;&gt;1,1,MAX(1,COUNTIF([1]QCI!$A$13:$A$24,OFFSET($E40,-1,0)))),"")</f>
        <v/>
      </c>
      <c r="AE40" s="4" t="str">
        <f ca="1">IF(AND($C40="S",ORÇAMENTO.CodBarra&lt;&gt;""),IF(ORÇAMENTO.Fonte="",ORÇAMENTO.CodBarra,CONCATENATE(ORÇAMENTO.Fonte," ",ORÇAMENTO.CodBarra)))</f>
        <v>SINAPI 91341</v>
      </c>
      <c r="AF40" s="58" t="e">
        <f ca="1">IF(ISERROR(INDIRECT(ORÇAMENTO.BancoRef)),"(abra o arquivo 'Referência "&amp;Excel_BuiltIn_Database&amp;".xls)",IF(OR($C40&lt;&gt;"S",ORÇAMENTO.CodBarra=""),"(Sem Código)",IF(ISERROR(MATCH($AE40,INDIRECT(ORÇAMENTO.BancoRef),0)),"(Código não identificado nas referências)",MATCH($AE40,INDIRECT(ORÇAMENTO.BancoRef),0))))</f>
        <v>#VALUE!</v>
      </c>
      <c r="AG40" s="59" t="e">
        <f ca="1">ROUND(IF(DESONERACAO="sim",REFERENCIA.Desonerado,REFERENCIA.NaoDesonerado),2)</f>
        <v>#VALUE!</v>
      </c>
      <c r="AH40" s="60">
        <f t="shared" si="27"/>
        <v>0.2223</v>
      </c>
      <c r="AJ40" s="61">
        <v>1.89</v>
      </c>
      <c r="AL40" s="62"/>
      <c r="AM40" s="63" t="e">
        <f t="shared" ca="1" si="0"/>
        <v>#VALUE!</v>
      </c>
      <c r="AN40" s="64" t="e">
        <f t="shared" ca="1" si="28"/>
        <v>#VALUE!</v>
      </c>
    </row>
    <row r="41" spans="1:40" x14ac:dyDescent="0.2">
      <c r="A41">
        <f t="shared" si="24"/>
        <v>3</v>
      </c>
      <c r="B41">
        <f t="shared" ca="1" si="29"/>
        <v>3</v>
      </c>
      <c r="C41">
        <f t="shared" ca="1" si="30"/>
        <v>3</v>
      </c>
      <c r="D41">
        <f t="shared" ca="1" si="31"/>
        <v>4</v>
      </c>
      <c r="E41" t="e">
        <f ca="1">IF($C41=1,OFFSET(E41,-1,0)+MAX(1,COUNTIF([1]QCI!$A$13:$A$24,OFFSET(ORÇAMENTO!E41,-1,0))),OFFSET(E41,-1,0))</f>
        <v>#VALUE!</v>
      </c>
      <c r="F41">
        <f t="shared" ca="1" si="32"/>
        <v>1</v>
      </c>
      <c r="G41">
        <f t="shared" ca="1" si="33"/>
        <v>7</v>
      </c>
      <c r="H41">
        <f t="shared" ca="1" si="34"/>
        <v>0</v>
      </c>
      <c r="I41">
        <f t="shared" ca="1" si="35"/>
        <v>0</v>
      </c>
      <c r="J41">
        <f t="shared" ca="1" si="9"/>
        <v>4</v>
      </c>
      <c r="K41">
        <f ca="1">IF(OR($C41="S",$C41=0),0,MATCH(OFFSET($D41,0,$C41)+IF($C41&lt;&gt;1,1,COUNTIF([1]QCI!$A$13:$A$24,ORÇAMENTO!E41)),OFFSET($D41,1,$C41,ROW($C$145)-ROW($C41)),0))</f>
        <v>73</v>
      </c>
      <c r="L41" s="42" t="e">
        <f t="shared" ca="1" si="36"/>
        <v>#VALUE!</v>
      </c>
      <c r="M41" s="43" t="s">
        <v>5</v>
      </c>
      <c r="N41" s="44" t="str">
        <f t="shared" ca="1" si="37"/>
        <v>Nível 3</v>
      </c>
      <c r="O41" s="45" t="e">
        <f t="shared" ca="1" si="38"/>
        <v>#VALUE!</v>
      </c>
      <c r="P41" s="46" t="s">
        <v>62</v>
      </c>
      <c r="Q41" s="47"/>
      <c r="R41" s="48" t="s">
        <v>112</v>
      </c>
      <c r="S41" s="49" t="s">
        <v>67</v>
      </c>
      <c r="T41" s="50" t="e">
        <f ca="1">OFFSET([1]CÁLCULO!H$15,ROW($T41)-ROW(T$15),0)</f>
        <v>#VALUE!</v>
      </c>
      <c r="U41" s="51"/>
      <c r="V41" s="52" t="s">
        <v>10</v>
      </c>
      <c r="W41" s="50">
        <f ca="1">IF($C41="S",ROUND(IF(TIPOORCAMENTO="Proposto",ORÇAMENTO.CustoUnitario*(1+$AH41),ORÇAMENTO.PrecoUnitarioLicitado),15-13*$AF$10),0)</f>
        <v>0</v>
      </c>
      <c r="X41" s="53" t="e">
        <f t="shared" ca="1" si="25"/>
        <v>#VALUE!</v>
      </c>
      <c r="Y41" s="54" t="s">
        <v>63</v>
      </c>
      <c r="Z41" t="e">
        <f t="shared" ca="1" si="39"/>
        <v>#VALUE!</v>
      </c>
      <c r="AA41" s="55" t="e">
        <f ca="1">IF($C41="S",IF($Z41="CP",$X41,IF($Z41="RA",(($X41)*[1]QCI!$AA$3),0)),SomaAgrup)</f>
        <v>#VALUE!</v>
      </c>
      <c r="AB41" s="56" t="e">
        <f t="shared" ca="1" si="26"/>
        <v>#VALUE!</v>
      </c>
      <c r="AC41" s="57" t="e">
        <f ca="1">IF($N41="","",IF(ORÇAMENTO.Descricao="","DESCRIÇÃO",IF(AND($C41="S",ORÇAMENTO.Unidade=""),"UNIDADE",IF($X41&lt;0,"VALOR NEGATIVO",IF(OR(AND(TIPOORCAMENTO="Proposto",$AG41&lt;&gt;"",$AG41&gt;0,ORÇAMENTO.CustoUnitario&gt;$AG41),AND(TIPOORCAMENTO="LICITADO",ORÇAMENTO.PrecoUnitarioLicitado&gt;$AN41)),"ACIMA REF.","")))))</f>
        <v>#VALUE!</v>
      </c>
      <c r="AD41" t="e">
        <f ca="1">IF(C41&lt;=CRONO.NivelExibicao,MAX($AD$15:OFFSET(AD41,-1,0))+IF($C41&lt;&gt;1,1,MAX(1,COUNTIF([1]QCI!$A$13:$A$24,OFFSET($E41,-1,0)))),"")</f>
        <v>#VALUE!</v>
      </c>
      <c r="AE41" s="4" t="b">
        <f ca="1">IF(AND($C41="S",ORÇAMENTO.CodBarra&lt;&gt;""),IF(ORÇAMENTO.Fonte="",ORÇAMENTO.CodBarra,CONCATENATE(ORÇAMENTO.Fonte," ",ORÇAMENTO.CodBarra)))</f>
        <v>0</v>
      </c>
      <c r="AF41" s="58" t="e">
        <f ca="1">IF(ISERROR(INDIRECT(ORÇAMENTO.BancoRef)),"(abra o arquivo 'Referência "&amp;Excel_BuiltIn_Database&amp;".xls)",IF(OR($C41&lt;&gt;"S",ORÇAMENTO.CodBarra=""),"(Sem Código)",IF(ISERROR(MATCH($AE41,INDIRECT(ORÇAMENTO.BancoRef),0)),"(Código não identificado nas referências)",MATCH($AE41,INDIRECT(ORÇAMENTO.BancoRef),0))))</f>
        <v>#VALUE!</v>
      </c>
      <c r="AG41" s="59" t="e">
        <f ca="1">ROUND(IF(DESONERACAO="sim",REFERENCIA.Desonerado,REFERENCIA.NaoDesonerado),2)</f>
        <v>#VALUE!</v>
      </c>
      <c r="AH41" s="60">
        <f t="shared" si="27"/>
        <v>0.2223</v>
      </c>
      <c r="AJ41" s="61"/>
      <c r="AL41" s="62"/>
      <c r="AM41" s="63" t="e">
        <f t="shared" ca="1" si="0"/>
        <v>#VALUE!</v>
      </c>
      <c r="AN41" s="64">
        <f t="shared" si="28"/>
        <v>0</v>
      </c>
    </row>
    <row r="42" spans="1:40" ht="25.5" x14ac:dyDescent="0.2">
      <c r="A42" t="str">
        <f t="shared" si="24"/>
        <v>S</v>
      </c>
      <c r="B42">
        <f t="shared" ca="1" si="29"/>
        <v>3</v>
      </c>
      <c r="C42" t="str">
        <f t="shared" ca="1" si="30"/>
        <v>S</v>
      </c>
      <c r="D42">
        <f t="shared" ca="1" si="31"/>
        <v>0</v>
      </c>
      <c r="E42" t="e">
        <f ca="1">IF($C42=1,OFFSET(E42,-1,0)+MAX(1,COUNTIF([1]QCI!$A$13:$A$24,OFFSET(ORÇAMENTO!E42,-1,0))),OFFSET(E42,-1,0))</f>
        <v>#VALUE!</v>
      </c>
      <c r="F42">
        <f t="shared" ca="1" si="32"/>
        <v>1</v>
      </c>
      <c r="G42">
        <f t="shared" ca="1" si="33"/>
        <v>7</v>
      </c>
      <c r="H42">
        <f t="shared" ca="1" si="34"/>
        <v>0</v>
      </c>
      <c r="I42" t="e">
        <f t="shared" ca="1" si="35"/>
        <v>#VALUE!</v>
      </c>
      <c r="J42">
        <f t="shared" ca="1" si="9"/>
        <v>0</v>
      </c>
      <c r="K42">
        <f ca="1">IF(OR($C42="S",$C42=0),0,MATCH(OFFSET($D42,0,$C42)+IF($C42&lt;&gt;1,1,COUNTIF([1]QCI!$A$13:$A$24,ORÇAMENTO!E42)),OFFSET($D42,1,$C42,ROW($C$145)-ROW($C42)),0))</f>
        <v>0</v>
      </c>
      <c r="L42" s="42" t="e">
        <f t="shared" ca="1" si="36"/>
        <v>#VALUE!</v>
      </c>
      <c r="M42" s="43" t="s">
        <v>7</v>
      </c>
      <c r="N42" s="44" t="str">
        <f t="shared" ca="1" si="37"/>
        <v>Serviço</v>
      </c>
      <c r="O42" s="45" t="e">
        <f t="shared" ca="1" si="38"/>
        <v>#VALUE!</v>
      </c>
      <c r="P42" s="46" t="s">
        <v>62</v>
      </c>
      <c r="Q42" s="47" t="s">
        <v>113</v>
      </c>
      <c r="R42" s="48" t="s">
        <v>114</v>
      </c>
      <c r="S42" s="49" t="s">
        <v>75</v>
      </c>
      <c r="T42" s="50" t="e">
        <f ca="1">OFFSET([1]CÁLCULO!H$15,ROW($T42)-ROW(T$15),0)</f>
        <v>#VALUE!</v>
      </c>
      <c r="U42" s="51" t="e">
        <f ca="1">AG42</f>
        <v>#VALUE!</v>
      </c>
      <c r="V42" s="52" t="s">
        <v>10</v>
      </c>
      <c r="W42" s="50" t="e">
        <f ca="1">IF($C42="S",ROUND(IF(TIPOORCAMENTO="Proposto",ORÇAMENTO.CustoUnitario*(1+$AH42),ORÇAMENTO.PrecoUnitarioLicitado),15-13*$AF$10),0)</f>
        <v>#VALUE!</v>
      </c>
      <c r="X42" s="53" t="e">
        <f t="shared" ca="1" si="25"/>
        <v>#VALUE!</v>
      </c>
      <c r="Y42" s="54" t="s">
        <v>63</v>
      </c>
      <c r="Z42" t="e">
        <f t="shared" ca="1" si="39"/>
        <v>#VALUE!</v>
      </c>
      <c r="AA42" s="55" t="e">
        <f ca="1">IF($C42="S",IF($Z42="CP",$X42,IF($Z42="RA",(($X42)*[1]QCI!$AA$3),0)),SomaAgrup)</f>
        <v>#VALUE!</v>
      </c>
      <c r="AB42" s="56" t="e">
        <f t="shared" ca="1" si="26"/>
        <v>#VALUE!</v>
      </c>
      <c r="AC42" s="57" t="e">
        <f ca="1">IF($N42="","",IF(ORÇAMENTO.Descricao="","DESCRIÇÃO",IF(AND($C42="S",ORÇAMENTO.Unidade=""),"UNIDADE",IF($X42&lt;0,"VALOR NEGATIVO",IF(OR(AND(TIPOORCAMENTO="Proposto",$AG42&lt;&gt;"",$AG42&gt;0,ORÇAMENTO.CustoUnitario&gt;$AG42),AND(TIPOORCAMENTO="LICITADO",ORÇAMENTO.PrecoUnitarioLicitado&gt;$AN42)),"ACIMA REF.","")))))</f>
        <v>#VALUE!</v>
      </c>
      <c r="AD42" t="str">
        <f ca="1">IF(C42&lt;=CRONO.NivelExibicao,MAX($AD$15:OFFSET(AD42,-1,0))+IF($C42&lt;&gt;1,1,MAX(1,COUNTIF([1]QCI!$A$13:$A$24,OFFSET($E42,-1,0)))),"")</f>
        <v/>
      </c>
      <c r="AE42" s="4" t="str">
        <f ca="1">IF(AND($C42="S",ORÇAMENTO.CodBarra&lt;&gt;""),IF(ORÇAMENTO.Fonte="",ORÇAMENTO.CodBarra,CONCATENATE(ORÇAMENTO.Fonte," ",ORÇAMENTO.CodBarra)))</f>
        <v>SINAPI 88489</v>
      </c>
      <c r="AF42" s="58" t="e">
        <f ca="1">IF(ISERROR(INDIRECT(ORÇAMENTO.BancoRef)),"(abra o arquivo 'Referência "&amp;Excel_BuiltIn_Database&amp;".xls)",IF(OR($C42&lt;&gt;"S",ORÇAMENTO.CodBarra=""),"(Sem Código)",IF(ISERROR(MATCH($AE42,INDIRECT(ORÇAMENTO.BancoRef),0)),"(Código não identificado nas referências)",MATCH($AE42,INDIRECT(ORÇAMENTO.BancoRef),0))))</f>
        <v>#VALUE!</v>
      </c>
      <c r="AG42" s="59" t="e">
        <f ca="1">ROUND(IF(DESONERACAO="sim",REFERENCIA.Desonerado,REFERENCIA.NaoDesonerado),2)</f>
        <v>#VALUE!</v>
      </c>
      <c r="AH42" s="60">
        <f t="shared" si="27"/>
        <v>0.2223</v>
      </c>
      <c r="AJ42" s="61">
        <v>822.34</v>
      </c>
      <c r="AL42" s="62"/>
      <c r="AM42" s="63" t="e">
        <f t="shared" ca="1" si="0"/>
        <v>#VALUE!</v>
      </c>
      <c r="AN42" s="64" t="e">
        <f t="shared" ca="1" si="28"/>
        <v>#VALUE!</v>
      </c>
    </row>
    <row r="43" spans="1:40" ht="25.5" x14ac:dyDescent="0.2">
      <c r="A43" t="str">
        <f t="shared" si="24"/>
        <v>S</v>
      </c>
      <c r="B43">
        <f t="shared" ca="1" si="29"/>
        <v>3</v>
      </c>
      <c r="C43" t="str">
        <f t="shared" ca="1" si="30"/>
        <v>S</v>
      </c>
      <c r="D43">
        <f t="shared" ca="1" si="31"/>
        <v>0</v>
      </c>
      <c r="E43" t="e">
        <f ca="1">IF($C43=1,OFFSET(E43,-1,0)+MAX(1,COUNTIF([1]QCI!$A$13:$A$24,OFFSET(ORÇAMENTO!E43,-1,0))),OFFSET(E43,-1,0))</f>
        <v>#VALUE!</v>
      </c>
      <c r="F43">
        <f t="shared" ca="1" si="32"/>
        <v>1</v>
      </c>
      <c r="G43">
        <f t="shared" ca="1" si="33"/>
        <v>7</v>
      </c>
      <c r="H43">
        <f t="shared" ca="1" si="34"/>
        <v>0</v>
      </c>
      <c r="I43" t="e">
        <f t="shared" ca="1" si="35"/>
        <v>#VALUE!</v>
      </c>
      <c r="J43">
        <f t="shared" ca="1" si="9"/>
        <v>0</v>
      </c>
      <c r="K43">
        <f ca="1">IF(OR($C43="S",$C43=0),0,MATCH(OFFSET($D43,0,$C43)+IF($C43&lt;&gt;1,1,COUNTIF([1]QCI!$A$13:$A$24,ORÇAMENTO!E43)),OFFSET($D43,1,$C43,ROW($C$145)-ROW($C43)),0))</f>
        <v>0</v>
      </c>
      <c r="L43" s="42" t="e">
        <f t="shared" ca="1" si="36"/>
        <v>#VALUE!</v>
      </c>
      <c r="M43" s="43" t="s">
        <v>7</v>
      </c>
      <c r="N43" s="44" t="str">
        <f t="shared" ca="1" si="37"/>
        <v>Serviço</v>
      </c>
      <c r="O43" s="45" t="e">
        <f t="shared" ca="1" si="38"/>
        <v>#VALUE!</v>
      </c>
      <c r="P43" s="46" t="s">
        <v>62</v>
      </c>
      <c r="Q43" s="47" t="s">
        <v>115</v>
      </c>
      <c r="R43" s="48" t="s">
        <v>116</v>
      </c>
      <c r="S43" s="49" t="s">
        <v>75</v>
      </c>
      <c r="T43" s="50" t="e">
        <f ca="1">OFFSET([1]CÁLCULO!H$15,ROW($T43)-ROW(T$15),0)</f>
        <v>#VALUE!</v>
      </c>
      <c r="U43" s="51" t="e">
        <f t="shared" ref="U43:U44" ca="1" si="40">AG43</f>
        <v>#VALUE!</v>
      </c>
      <c r="V43" s="52" t="s">
        <v>10</v>
      </c>
      <c r="W43" s="50" t="e">
        <f ca="1">IF($C43="S",ROUND(IF(TIPOORCAMENTO="Proposto",ORÇAMENTO.CustoUnitario*(1+$AH43),ORÇAMENTO.PrecoUnitarioLicitado),15-13*$AF$10),0)</f>
        <v>#VALUE!</v>
      </c>
      <c r="X43" s="53" t="e">
        <f t="shared" ca="1" si="25"/>
        <v>#VALUE!</v>
      </c>
      <c r="Y43" s="54" t="s">
        <v>63</v>
      </c>
      <c r="Z43" t="e">
        <f t="shared" ca="1" si="39"/>
        <v>#VALUE!</v>
      </c>
      <c r="AA43" s="55" t="e">
        <f ca="1">IF($C43="S",IF($Z43="CP",$X43,IF($Z43="RA",(($X43)*[1]QCI!$AA$3),0)),SomaAgrup)</f>
        <v>#VALUE!</v>
      </c>
      <c r="AB43" s="56" t="e">
        <f t="shared" ca="1" si="26"/>
        <v>#VALUE!</v>
      </c>
      <c r="AC43" s="57" t="e">
        <f ca="1">IF($N43="","",IF(ORÇAMENTO.Descricao="","DESCRIÇÃO",IF(AND($C43="S",ORÇAMENTO.Unidade=""),"UNIDADE",IF($X43&lt;0,"VALOR NEGATIVO",IF(OR(AND(TIPOORCAMENTO="Proposto",$AG43&lt;&gt;"",$AG43&gt;0,ORÇAMENTO.CustoUnitario&gt;$AG43),AND(TIPOORCAMENTO="LICITADO",ORÇAMENTO.PrecoUnitarioLicitado&gt;$AN43)),"ACIMA REF.","")))))</f>
        <v>#VALUE!</v>
      </c>
      <c r="AD43" t="str">
        <f ca="1">IF(C43&lt;=CRONO.NivelExibicao,MAX($AD$15:OFFSET(AD43,-1,0))+IF($C43&lt;&gt;1,1,MAX(1,COUNTIF([1]QCI!$A$13:$A$24,OFFSET($E43,-1,0)))),"")</f>
        <v/>
      </c>
      <c r="AE43" s="4" t="str">
        <f ca="1">IF(AND($C43="S",ORÇAMENTO.CodBarra&lt;&gt;""),IF(ORÇAMENTO.Fonte="",ORÇAMENTO.CodBarra,CONCATENATE(ORÇAMENTO.Fonte," ",ORÇAMENTO.CodBarra)))</f>
        <v>SINAPI 102491</v>
      </c>
      <c r="AF43" s="58" t="e">
        <f ca="1">IF(ISERROR(INDIRECT(ORÇAMENTO.BancoRef)),"(abra o arquivo 'Referência "&amp;Excel_BuiltIn_Database&amp;".xls)",IF(OR($C43&lt;&gt;"S",ORÇAMENTO.CodBarra=""),"(Sem Código)",IF(ISERROR(MATCH($AE43,INDIRECT(ORÇAMENTO.BancoRef),0)),"(Código não identificado nas referências)",MATCH($AE43,INDIRECT(ORÇAMENTO.BancoRef),0))))</f>
        <v>#VALUE!</v>
      </c>
      <c r="AG43" s="59" t="e">
        <f ca="1">ROUND(IF(DESONERACAO="sim",REFERENCIA.Desonerado,REFERENCIA.NaoDesonerado),2)</f>
        <v>#VALUE!</v>
      </c>
      <c r="AH43" s="60">
        <f t="shared" si="27"/>
        <v>0.2223</v>
      </c>
      <c r="AJ43" s="61">
        <v>281.63</v>
      </c>
      <c r="AL43" s="62"/>
      <c r="AM43" s="63" t="e">
        <f t="shared" ca="1" si="0"/>
        <v>#VALUE!</v>
      </c>
      <c r="AN43" s="64" t="e">
        <f t="shared" ca="1" si="28"/>
        <v>#VALUE!</v>
      </c>
    </row>
    <row r="44" spans="1:40" ht="38.25" x14ac:dyDescent="0.2">
      <c r="A44" t="str">
        <f t="shared" si="24"/>
        <v>S</v>
      </c>
      <c r="B44">
        <f t="shared" ca="1" si="29"/>
        <v>3</v>
      </c>
      <c r="C44" t="str">
        <f t="shared" ca="1" si="30"/>
        <v>S</v>
      </c>
      <c r="D44">
        <f t="shared" ca="1" si="31"/>
        <v>0</v>
      </c>
      <c r="E44" t="e">
        <f ca="1">IF($C44=1,OFFSET(E44,-1,0)+MAX(1,COUNTIF([1]QCI!$A$13:$A$24,OFFSET(ORÇAMENTO!E44,-1,0))),OFFSET(E44,-1,0))</f>
        <v>#VALUE!</v>
      </c>
      <c r="F44">
        <f t="shared" ca="1" si="32"/>
        <v>1</v>
      </c>
      <c r="G44">
        <f t="shared" ca="1" si="33"/>
        <v>7</v>
      </c>
      <c r="H44">
        <f t="shared" ca="1" si="34"/>
        <v>0</v>
      </c>
      <c r="I44" t="e">
        <f t="shared" ca="1" si="35"/>
        <v>#VALUE!</v>
      </c>
      <c r="J44">
        <f t="shared" ca="1" si="9"/>
        <v>0</v>
      </c>
      <c r="K44">
        <f ca="1">IF(OR($C44="S",$C44=0),0,MATCH(OFFSET($D44,0,$C44)+IF($C44&lt;&gt;1,1,COUNTIF([1]QCI!$A$13:$A$24,ORÇAMENTO!E44)),OFFSET($D44,1,$C44,ROW($C$145)-ROW($C44)),0))</f>
        <v>0</v>
      </c>
      <c r="L44" s="42" t="e">
        <f t="shared" ca="1" si="36"/>
        <v>#VALUE!</v>
      </c>
      <c r="M44" s="43" t="s">
        <v>7</v>
      </c>
      <c r="N44" s="44" t="str">
        <f t="shared" ca="1" si="37"/>
        <v>Serviço</v>
      </c>
      <c r="O44" s="45" t="e">
        <f t="shared" ca="1" si="38"/>
        <v>#VALUE!</v>
      </c>
      <c r="P44" s="46" t="s">
        <v>62</v>
      </c>
      <c r="Q44" s="47" t="s">
        <v>117</v>
      </c>
      <c r="R44" s="48" t="s">
        <v>118</v>
      </c>
      <c r="S44" s="49" t="s">
        <v>75</v>
      </c>
      <c r="T44" s="50" t="e">
        <f ca="1">OFFSET([1]CÁLCULO!H$15,ROW($T44)-ROW(T$15),0)</f>
        <v>#VALUE!</v>
      </c>
      <c r="U44" s="51" t="e">
        <f t="shared" ca="1" si="40"/>
        <v>#VALUE!</v>
      </c>
      <c r="V44" s="52" t="s">
        <v>10</v>
      </c>
      <c r="W44" s="50" t="e">
        <f ca="1">IF($C44="S",ROUND(IF(TIPOORCAMENTO="Proposto",ORÇAMENTO.CustoUnitario*(1+$AH44),ORÇAMENTO.PrecoUnitarioLicitado),15-13*$AF$10),0)</f>
        <v>#VALUE!</v>
      </c>
      <c r="X44" s="53" t="e">
        <f t="shared" ca="1" si="25"/>
        <v>#VALUE!</v>
      </c>
      <c r="Y44" s="54" t="s">
        <v>63</v>
      </c>
      <c r="Z44" t="e">
        <f t="shared" ca="1" si="39"/>
        <v>#VALUE!</v>
      </c>
      <c r="AA44" s="55" t="e">
        <f ca="1">IF($C44="S",IF($Z44="CP",$X44,IF($Z44="RA",(($X44)*[1]QCI!$AA$3),0)),SomaAgrup)</f>
        <v>#VALUE!</v>
      </c>
      <c r="AB44" s="56" t="e">
        <f t="shared" ca="1" si="26"/>
        <v>#VALUE!</v>
      </c>
      <c r="AC44" s="57" t="e">
        <f ca="1">IF($N44="","",IF(ORÇAMENTO.Descricao="","DESCRIÇÃO",IF(AND($C44="S",ORÇAMENTO.Unidade=""),"UNIDADE",IF($X44&lt;0,"VALOR NEGATIVO",IF(OR(AND(TIPOORCAMENTO="Proposto",$AG44&lt;&gt;"",$AG44&gt;0,ORÇAMENTO.CustoUnitario&gt;$AG44),AND(TIPOORCAMENTO="LICITADO",ORÇAMENTO.PrecoUnitarioLicitado&gt;$AN44)),"ACIMA REF.","")))))</f>
        <v>#VALUE!</v>
      </c>
      <c r="AD44" t="str">
        <f ca="1">IF(C44&lt;=CRONO.NivelExibicao,MAX($AD$15:OFFSET(AD44,-1,0))+IF($C44&lt;&gt;1,1,MAX(1,COUNTIF([1]QCI!$A$13:$A$24,OFFSET($E44,-1,0)))),"")</f>
        <v/>
      </c>
      <c r="AE44" s="4" t="str">
        <f ca="1">IF(AND($C44="S",ORÇAMENTO.CodBarra&lt;&gt;""),IF(ORÇAMENTO.Fonte="",ORÇAMENTO.CodBarra,CONCATENATE(ORÇAMENTO.Fonte," ",ORÇAMENTO.CodBarra)))</f>
        <v>SINAPI 100733</v>
      </c>
      <c r="AF44" s="58" t="e">
        <f ca="1">IF(ISERROR(INDIRECT(ORÇAMENTO.BancoRef)),"(abra o arquivo 'Referência "&amp;Excel_BuiltIn_Database&amp;".xls)",IF(OR($C44&lt;&gt;"S",ORÇAMENTO.CodBarra=""),"(Sem Código)",IF(ISERROR(MATCH($AE44,INDIRECT(ORÇAMENTO.BancoRef),0)),"(Código não identificado nas referências)",MATCH($AE44,INDIRECT(ORÇAMENTO.BancoRef),0))))</f>
        <v>#VALUE!</v>
      </c>
      <c r="AG44" s="59" t="e">
        <f ca="1">ROUND(IF(DESONERACAO="sim",REFERENCIA.Desonerado,REFERENCIA.NaoDesonerado),2)</f>
        <v>#VALUE!</v>
      </c>
      <c r="AH44" s="60">
        <f t="shared" si="27"/>
        <v>0.2223</v>
      </c>
      <c r="AJ44" s="61">
        <v>245.25</v>
      </c>
      <c r="AL44" s="62"/>
      <c r="AM44" s="63" t="e">
        <f t="shared" ca="1" si="0"/>
        <v>#VALUE!</v>
      </c>
      <c r="AN44" s="64" t="e">
        <f t="shared" ca="1" si="28"/>
        <v>#VALUE!</v>
      </c>
    </row>
    <row r="45" spans="1:40" x14ac:dyDescent="0.2">
      <c r="A45">
        <f t="shared" ref="A45:A137" si="41">CHOOSE(1+LOG(1+2*(ORÇAMENTO.Nivel="Meta")+4*(ORÇAMENTO.Nivel="Nível 2")+8*(ORÇAMENTO.Nivel="Nível 3")+16*(ORÇAMENTO.Nivel="Nível 4")+32*(ORÇAMENTO.Nivel="Serviço"),2),0,1,2,3,4,"S")</f>
        <v>2</v>
      </c>
      <c r="B45">
        <f ca="1">IF(OR(C45="s",C45=0),OFFSET(B45,-1,0),C45)</f>
        <v>2</v>
      </c>
      <c r="C45">
        <f ca="1">IF(OFFSET(C45,-1,0)="L",1,IF(OFFSET(C45,-1,0)=1,2,IF(OR(A45="s",A45=0),"S",IF(AND(OFFSET(C45,-1,0)=2,A45=4),3,IF(AND(OR(OFFSET(C45,-1,0)="s",OFFSET(C45,-1,0)=0),A45&lt;&gt;"s",A45&gt;OFFSET(B45,-1,0)),OFFSET(B45,-1,0),A45)))))</f>
        <v>2</v>
      </c>
      <c r="D45">
        <f ca="1">IF(OR(C45="S",C45=0),0,IF(ISERROR(K45),J45,SMALL(J45:K45,1)))</f>
        <v>100</v>
      </c>
      <c r="E45" t="e">
        <f ca="1">IF($C45=1,OFFSET(E45,-1,0)+MAX(1,COUNTIF([1]QCI!$A$13:$A$24,OFFSET(ORÇAMENTO!E45,-1,0))),OFFSET(E45,-1,0))</f>
        <v>#VALUE!</v>
      </c>
      <c r="F45">
        <f ca="1">IF($C45=1,0,IF($C45=2,OFFSET(F45,-1,0)+1,OFFSET(F45,-1,0)))</f>
        <v>2</v>
      </c>
      <c r="G45">
        <f ca="1">IF(AND($C45&lt;=2,$C45&lt;&gt;0),0,IF($C45=3,OFFSET(G45,-1,0)+1,OFFSET(G45,-1,0)))</f>
        <v>0</v>
      </c>
      <c r="H45">
        <f ca="1">IF(AND($C45&lt;=3,$C45&lt;&gt;0),0,IF($C45=4,OFFSET(H45,-1,0)+1,OFFSET(H45,-1,0)))</f>
        <v>0</v>
      </c>
      <c r="I45">
        <f ca="1">IF(AND($C45&lt;=4,$C45&lt;&gt;0),0,IF(AND($C45="S",$X45&gt;0),OFFSET(I45,-1,0)+1,OFFSET(I45,-1,0)))</f>
        <v>0</v>
      </c>
      <c r="J45">
        <f t="shared" ca="1" si="9"/>
        <v>100</v>
      </c>
      <c r="K45" t="e">
        <f ca="1">IF(OR($C45="S",$C45=0),0,MATCH(OFFSET($D45,0,$C45)+IF($C45&lt;&gt;1,1,COUNTIF([1]QCI!$A$13:$A$24,ORÇAMENTO!E45)),OFFSET($D45,1,$C45,ROW($C$145)-ROW($C45)),0))</f>
        <v>#N/A</v>
      </c>
      <c r="L45" s="42" t="e">
        <f ca="1">IF(OR($X45&gt;0,$C45=1,$C45=2,$C45=3,$C45=4),"F","")</f>
        <v>#VALUE!</v>
      </c>
      <c r="M45" s="43" t="s">
        <v>4</v>
      </c>
      <c r="N45" s="44" t="str">
        <f ca="1">CHOOSE(1+LOG(1+2*(C45=1)+4*(C45=2)+8*(C45=3)+16*(C45=4)+32*(C45="S"),2),"","Meta","Nível 2","Nível 3","Nível 4","Serviço")</f>
        <v>Nível 2</v>
      </c>
      <c r="O45" s="45" t="e">
        <f ca="1">IF(OR($C45=0,$L45=""),"-",CONCATENATE(E45&amp;".",IF(AND($A$5&gt;=2,$C45&gt;=2),F45&amp;".",""),IF(AND($A$5&gt;=3,$C45&gt;=3),G45&amp;".",""),IF(AND($A$5&gt;=4,$C45&gt;=4),H45&amp;".",""),IF($C45="S",I45&amp;".","")))</f>
        <v>#VALUE!</v>
      </c>
      <c r="P45" s="46" t="s">
        <v>62</v>
      </c>
      <c r="Q45" s="47"/>
      <c r="R45" s="48" t="s">
        <v>119</v>
      </c>
      <c r="S45" s="49" t="s">
        <v>67</v>
      </c>
      <c r="T45" s="50" t="e">
        <f ca="1">OFFSET([1]CÁLCULO!H$15,ROW($T45)-ROW(T$15),0)</f>
        <v>#VALUE!</v>
      </c>
      <c r="U45" s="51"/>
      <c r="V45" s="52" t="s">
        <v>10</v>
      </c>
      <c r="W45" s="50">
        <f ca="1">IF($C45="S",ROUND(IF(TIPOORCAMENTO="Proposto",ORÇAMENTO.CustoUnitario*(1+$AH45),ORÇAMENTO.PrecoUnitarioLicitado),15-13*$AF$10),0)</f>
        <v>0</v>
      </c>
      <c r="X45" s="53" t="e">
        <f t="shared" ref="X45:X137" ca="1" si="42">IF($C45="S",VTOTAL1,IF($C45=0,0,ROUND(SomaAgrup,15-13*$AF$11)))</f>
        <v>#VALUE!</v>
      </c>
      <c r="Y45" s="54" t="s">
        <v>63</v>
      </c>
      <c r="Z45" t="e">
        <f ca="1">IF(AND($C45="S",$X45&gt;0),IF(ISBLANK($Y45),"RA",LEFT($Y45,2)),"")</f>
        <v>#VALUE!</v>
      </c>
      <c r="AA45" s="55" t="e">
        <f ca="1">IF($C45="S",IF($Z45="CP",$X45,IF($Z45="RA",(($X45)*[1]QCI!$AA$3),0)),SomaAgrup)</f>
        <v>#VALUE!</v>
      </c>
      <c r="AB45" s="56" t="e">
        <f t="shared" ref="AB45:AB137" ca="1" si="43">IF($C45="S",IF($Z45="OU",ROUND($X45,2),0),SomaAgrup)</f>
        <v>#VALUE!</v>
      </c>
      <c r="AC45" s="57" t="e">
        <f ca="1">IF($N45="","",IF(ORÇAMENTO.Descricao="","DESCRIÇÃO",IF(AND($C45="S",ORÇAMENTO.Unidade=""),"UNIDADE",IF($X45&lt;0,"VALOR NEGATIVO",IF(OR(AND(TIPOORCAMENTO="Proposto",$AG45&lt;&gt;"",$AG45&gt;0,ORÇAMENTO.CustoUnitario&gt;$AG45),AND(TIPOORCAMENTO="LICITADO",ORÇAMENTO.PrecoUnitarioLicitado&gt;$AN45)),"ACIMA REF.","")))))</f>
        <v>#VALUE!</v>
      </c>
      <c r="AD45" t="e">
        <f ca="1">IF(C45&lt;=CRONO.NivelExibicao,MAX($AD$15:OFFSET(AD45,-1,0))+IF($C45&lt;&gt;1,1,MAX(1,COUNTIF([1]QCI!$A$13:$A$24,OFFSET($E45,-1,0)))),"")</f>
        <v>#VALUE!</v>
      </c>
      <c r="AE45" s="4" t="b">
        <f ca="1">IF(AND($C45="S",ORÇAMENTO.CodBarra&lt;&gt;""),IF(ORÇAMENTO.Fonte="",ORÇAMENTO.CodBarra,CONCATENATE(ORÇAMENTO.Fonte," ",ORÇAMENTO.CodBarra)))</f>
        <v>0</v>
      </c>
      <c r="AF45" s="58" t="e">
        <f ca="1">IF(ISERROR(INDIRECT(ORÇAMENTO.BancoRef)),"(abra o arquivo 'Referência "&amp;Excel_BuiltIn_Database&amp;".xls)",IF(OR($C45&lt;&gt;"S",ORÇAMENTO.CodBarra=""),"(Sem Código)",IF(ISERROR(MATCH($AE45,INDIRECT(ORÇAMENTO.BancoRef),0)),"(Código não identificado nas referências)",MATCH($AE45,INDIRECT(ORÇAMENTO.BancoRef),0))))</f>
        <v>#VALUE!</v>
      </c>
      <c r="AG45" s="59" t="e">
        <f ca="1">ROUND(IF(DESONERACAO="sim",REFERENCIA.Desonerado,REFERENCIA.NaoDesonerado),2)</f>
        <v>#VALUE!</v>
      </c>
      <c r="AH45" s="60">
        <f t="shared" ref="AH45:AH137" si="44">ROUND(IF(ISNUMBER(ORÇAMENTO.OpcaoBDI),ORÇAMENTO.OpcaoBDI,IF(LEFT(ORÇAMENTO.OpcaoBDI,3)="BDI",HLOOKUP(ORÇAMENTO.OpcaoBDI,$F$4:$H$5,2,FALSE),0)),15-11*$AF$9)</f>
        <v>0.2223</v>
      </c>
      <c r="AJ45" s="61"/>
      <c r="AL45" s="62"/>
      <c r="AM45" s="63" t="e">
        <f t="shared" ca="1" si="0"/>
        <v>#VALUE!</v>
      </c>
      <c r="AN45" s="64">
        <f t="shared" ref="AN45:AN137" si="45">ROUND(ORÇAMENTO.CustoUnitario*(1+$AH45),2)</f>
        <v>0</v>
      </c>
    </row>
    <row r="46" spans="1:40" x14ac:dyDescent="0.2">
      <c r="A46">
        <f t="shared" si="41"/>
        <v>3</v>
      </c>
      <c r="B46">
        <f t="shared" ref="B46:B137" ca="1" si="46">IF(OR(C46="s",C46=0),OFFSET(B46,-1,0),C46)</f>
        <v>3</v>
      </c>
      <c r="C46">
        <f t="shared" ref="C46:C137" ca="1" si="47">IF(OFFSET(C46,-1,0)="L",1,IF(OFFSET(C46,-1,0)=1,2,IF(OR(A46="s",A46=0),"S",IF(AND(OFFSET(C46,-1,0)=2,A46=4),3,IF(AND(OR(OFFSET(C46,-1,0)="s",OFFSET(C46,-1,0)=0),A46&lt;&gt;"s",A46&gt;OFFSET(B46,-1,0)),OFFSET(B46,-1,0),A46)))))</f>
        <v>3</v>
      </c>
      <c r="D46">
        <f t="shared" ref="D46:D137" ca="1" si="48">IF(OR(C46="S",C46=0),0,IF(ISERROR(K46),J46,SMALL(J46:K46,1)))</f>
        <v>9</v>
      </c>
      <c r="E46" t="e">
        <f ca="1">IF($C46=1,OFFSET(E46,-1,0)+MAX(1,COUNTIF([1]QCI!$A$13:$A$24,OFFSET(ORÇAMENTO!E46,-1,0))),OFFSET(E46,-1,0))</f>
        <v>#VALUE!</v>
      </c>
      <c r="F46">
        <f t="shared" ref="F46:F137" ca="1" si="49">IF($C46=1,0,IF($C46=2,OFFSET(F46,-1,0)+1,OFFSET(F46,-1,0)))</f>
        <v>2</v>
      </c>
      <c r="G46">
        <f t="shared" ref="G46:G137" ca="1" si="50">IF(AND($C46&lt;=2,$C46&lt;&gt;0),0,IF($C46=3,OFFSET(G46,-1,0)+1,OFFSET(G46,-1,0)))</f>
        <v>1</v>
      </c>
      <c r="H46">
        <f t="shared" ref="H46:H137" ca="1" si="51">IF(AND($C46&lt;=3,$C46&lt;&gt;0),0,IF($C46=4,OFFSET(H46,-1,0)+1,OFFSET(H46,-1,0)))</f>
        <v>0</v>
      </c>
      <c r="I46">
        <f t="shared" ref="I46:I137" ca="1" si="52">IF(AND($C46&lt;=4,$C46&lt;&gt;0),0,IF(AND($C46="S",$X46&gt;0),OFFSET(I46,-1,0)+1,OFFSET(I46,-1,0)))</f>
        <v>0</v>
      </c>
      <c r="J46">
        <f t="shared" ca="1" si="9"/>
        <v>99</v>
      </c>
      <c r="K46">
        <f ca="1">IF(OR($C46="S",$C46=0),0,MATCH(OFFSET($D46,0,$C46)+IF($C46&lt;&gt;1,1,COUNTIF([1]QCI!$A$13:$A$24,ORÇAMENTO!E46)),OFFSET($D46,1,$C46,ROW($C$145)-ROW($C46)),0))</f>
        <v>9</v>
      </c>
      <c r="L46" s="42" t="e">
        <f t="shared" ref="L46:L137" ca="1" si="53">IF(OR($X46&gt;0,$C46=1,$C46=2,$C46=3,$C46=4),"F","")</f>
        <v>#VALUE!</v>
      </c>
      <c r="M46" s="43" t="s">
        <v>5</v>
      </c>
      <c r="N46" s="44" t="str">
        <f t="shared" ref="N46:N137" ca="1" si="54">CHOOSE(1+LOG(1+2*(C46=1)+4*(C46=2)+8*(C46=3)+16*(C46=4)+32*(C46="S"),2),"","Meta","Nível 2","Nível 3","Nível 4","Serviço")</f>
        <v>Nível 3</v>
      </c>
      <c r="O46" s="45" t="e">
        <f t="shared" ref="O46:O137" ca="1" si="55">IF(OR($C46=0,$L46=""),"-",CONCATENATE(E46&amp;".",IF(AND($A$5&gt;=2,$C46&gt;=2),F46&amp;".",""),IF(AND($A$5&gt;=3,$C46&gt;=3),G46&amp;".",""),IF(AND($A$5&gt;=4,$C46&gt;=4),H46&amp;".",""),IF($C46="S",I46&amp;".","")))</f>
        <v>#VALUE!</v>
      </c>
      <c r="P46" s="46" t="s">
        <v>62</v>
      </c>
      <c r="Q46" s="47"/>
      <c r="R46" s="48" t="s">
        <v>120</v>
      </c>
      <c r="S46" s="49" t="s">
        <v>67</v>
      </c>
      <c r="T46" s="50" t="e">
        <f ca="1">OFFSET([1]CÁLCULO!H$15,ROW($T46)-ROW(T$15),0)</f>
        <v>#VALUE!</v>
      </c>
      <c r="U46" s="51"/>
      <c r="V46" s="52" t="s">
        <v>10</v>
      </c>
      <c r="W46" s="50">
        <f ca="1">IF($C46="S",ROUND(IF(TIPOORCAMENTO="Proposto",ORÇAMENTO.CustoUnitario*(1+$AH46),ORÇAMENTO.PrecoUnitarioLicitado),15-13*$AF$10),0)</f>
        <v>0</v>
      </c>
      <c r="X46" s="53" t="e">
        <f t="shared" ca="1" si="42"/>
        <v>#VALUE!</v>
      </c>
      <c r="Y46" s="54" t="s">
        <v>63</v>
      </c>
      <c r="Z46" t="e">
        <f t="shared" ref="Z46:Z137" ca="1" si="56">IF(AND($C46="S",$X46&gt;0),IF(ISBLANK($Y46),"RA",LEFT($Y46,2)),"")</f>
        <v>#VALUE!</v>
      </c>
      <c r="AA46" s="55" t="e">
        <f ca="1">IF($C46="S",IF($Z46="CP",$X46,IF($Z46="RA",(($X46)*[1]QCI!$AA$3),0)),SomaAgrup)</f>
        <v>#VALUE!</v>
      </c>
      <c r="AB46" s="56" t="e">
        <f t="shared" ca="1" si="43"/>
        <v>#VALUE!</v>
      </c>
      <c r="AC46" s="57" t="e">
        <f ca="1">IF($N46="","",IF(ORÇAMENTO.Descricao="","DESCRIÇÃO",IF(AND($C46="S",ORÇAMENTO.Unidade=""),"UNIDADE",IF($X46&lt;0,"VALOR NEGATIVO",IF(OR(AND(TIPOORCAMENTO="Proposto",$AG46&lt;&gt;"",$AG46&gt;0,ORÇAMENTO.CustoUnitario&gt;$AG46),AND(TIPOORCAMENTO="LICITADO",ORÇAMENTO.PrecoUnitarioLicitado&gt;$AN46)),"ACIMA REF.","")))))</f>
        <v>#VALUE!</v>
      </c>
      <c r="AD46" t="e">
        <f ca="1">IF(C46&lt;=CRONO.NivelExibicao,MAX($AD$15:OFFSET(AD46,-1,0))+IF($C46&lt;&gt;1,1,MAX(1,COUNTIF([1]QCI!$A$13:$A$24,OFFSET($E46,-1,0)))),"")</f>
        <v>#VALUE!</v>
      </c>
      <c r="AE46" s="4" t="b">
        <f ca="1">IF(AND($C46="S",ORÇAMENTO.CodBarra&lt;&gt;""),IF(ORÇAMENTO.Fonte="",ORÇAMENTO.CodBarra,CONCATENATE(ORÇAMENTO.Fonte," ",ORÇAMENTO.CodBarra)))</f>
        <v>0</v>
      </c>
      <c r="AF46" s="58" t="e">
        <f ca="1">IF(ISERROR(INDIRECT(ORÇAMENTO.BancoRef)),"(abra o arquivo 'Referência "&amp;Excel_BuiltIn_Database&amp;".xls)",IF(OR($C46&lt;&gt;"S",ORÇAMENTO.CodBarra=""),"(Sem Código)",IF(ISERROR(MATCH($AE46,INDIRECT(ORÇAMENTO.BancoRef),0)),"(Código não identificado nas referências)",MATCH($AE46,INDIRECT(ORÇAMENTO.BancoRef),0))))</f>
        <v>#VALUE!</v>
      </c>
      <c r="AG46" s="59" t="e">
        <f ca="1">ROUND(IF(DESONERACAO="sim",REFERENCIA.Desonerado,REFERENCIA.NaoDesonerado),2)</f>
        <v>#VALUE!</v>
      </c>
      <c r="AH46" s="60">
        <f t="shared" si="44"/>
        <v>0.2223</v>
      </c>
      <c r="AJ46" s="61"/>
      <c r="AL46" s="62"/>
      <c r="AM46" s="63" t="e">
        <f t="shared" ca="1" si="0"/>
        <v>#VALUE!</v>
      </c>
      <c r="AN46" s="64">
        <f t="shared" si="45"/>
        <v>0</v>
      </c>
    </row>
    <row r="47" spans="1:40" ht="25.5" x14ac:dyDescent="0.2">
      <c r="A47" t="str">
        <f t="shared" si="41"/>
        <v>S</v>
      </c>
      <c r="B47">
        <f t="shared" ca="1" si="46"/>
        <v>3</v>
      </c>
      <c r="C47" t="str">
        <f t="shared" ca="1" si="47"/>
        <v>S</v>
      </c>
      <c r="D47">
        <f t="shared" ca="1" si="48"/>
        <v>0</v>
      </c>
      <c r="E47" t="e">
        <f ca="1">IF($C47=1,OFFSET(E47,-1,0)+MAX(1,COUNTIF([1]QCI!$A$13:$A$24,OFFSET(ORÇAMENTO!E47,-1,0))),OFFSET(E47,-1,0))</f>
        <v>#VALUE!</v>
      </c>
      <c r="F47">
        <f t="shared" ca="1" si="49"/>
        <v>2</v>
      </c>
      <c r="G47">
        <f t="shared" ca="1" si="50"/>
        <v>1</v>
      </c>
      <c r="H47">
        <f t="shared" ca="1" si="51"/>
        <v>0</v>
      </c>
      <c r="I47" t="e">
        <f t="shared" ca="1" si="52"/>
        <v>#VALUE!</v>
      </c>
      <c r="J47">
        <f t="shared" ca="1" si="9"/>
        <v>0</v>
      </c>
      <c r="K47">
        <f ca="1">IF(OR($C47="S",$C47=0),0,MATCH(OFFSET($D47,0,$C47)+IF($C47&lt;&gt;1,1,COUNTIF([1]QCI!$A$13:$A$24,ORÇAMENTO!E47)),OFFSET($D47,1,$C47,ROW($C$145)-ROW($C47)),0))</f>
        <v>0</v>
      </c>
      <c r="L47" s="42" t="e">
        <f t="shared" ca="1" si="53"/>
        <v>#VALUE!</v>
      </c>
      <c r="M47" s="43" t="s">
        <v>7</v>
      </c>
      <c r="N47" s="44" t="str">
        <f t="shared" ca="1" si="54"/>
        <v>Serviço</v>
      </c>
      <c r="O47" s="45" t="e">
        <f t="shared" ca="1" si="55"/>
        <v>#VALUE!</v>
      </c>
      <c r="P47" s="46" t="s">
        <v>62</v>
      </c>
      <c r="Q47" s="47" t="s">
        <v>121</v>
      </c>
      <c r="R47" s="48" t="s">
        <v>122</v>
      </c>
      <c r="S47" s="49" t="s">
        <v>78</v>
      </c>
      <c r="T47" s="50" t="e">
        <f ca="1">OFFSET([1]CÁLCULO!H$15,ROW($T47)-ROW(T$15),0)</f>
        <v>#VALUE!</v>
      </c>
      <c r="U47" s="51" t="e">
        <f t="shared" ca="1" si="23"/>
        <v>#VALUE!</v>
      </c>
      <c r="V47" s="52" t="s">
        <v>10</v>
      </c>
      <c r="W47" s="50" t="e">
        <f ca="1">IF($C47="S",ROUND(IF(TIPOORCAMENTO="Proposto",ORÇAMENTO.CustoUnitario*(1+$AH47),ORÇAMENTO.PrecoUnitarioLicitado),15-13*$AF$10),0)</f>
        <v>#VALUE!</v>
      </c>
      <c r="X47" s="53" t="e">
        <f t="shared" ca="1" si="42"/>
        <v>#VALUE!</v>
      </c>
      <c r="Y47" s="54" t="s">
        <v>63</v>
      </c>
      <c r="Z47" t="e">
        <f t="shared" ca="1" si="56"/>
        <v>#VALUE!</v>
      </c>
      <c r="AA47" s="55" t="e">
        <f ca="1">IF($C47="S",IF($Z47="CP",$X47,IF($Z47="RA",(($X47)*[1]QCI!$AA$3),0)),SomaAgrup)</f>
        <v>#VALUE!</v>
      </c>
      <c r="AB47" s="56" t="e">
        <f t="shared" ca="1" si="43"/>
        <v>#VALUE!</v>
      </c>
      <c r="AC47" s="57" t="e">
        <f ca="1">IF($N47="","",IF(ORÇAMENTO.Descricao="","DESCRIÇÃO",IF(AND($C47="S",ORÇAMENTO.Unidade=""),"UNIDADE",IF($X47&lt;0,"VALOR NEGATIVO",IF(OR(AND(TIPOORCAMENTO="Proposto",$AG47&lt;&gt;"",$AG47&gt;0,ORÇAMENTO.CustoUnitario&gt;$AG47),AND(TIPOORCAMENTO="LICITADO",ORÇAMENTO.PrecoUnitarioLicitado&gt;$AN47)),"ACIMA REF.","")))))</f>
        <v>#VALUE!</v>
      </c>
      <c r="AD47" t="str">
        <f ca="1">IF(C47&lt;=CRONO.NivelExibicao,MAX($AD$15:OFFSET(AD47,-1,0))+IF($C47&lt;&gt;1,1,MAX(1,COUNTIF([1]QCI!$A$13:$A$24,OFFSET($E47,-1,0)))),"")</f>
        <v/>
      </c>
      <c r="AE47" s="4" t="str">
        <f ca="1">IF(AND($C47="S",ORÇAMENTO.CodBarra&lt;&gt;""),IF(ORÇAMENTO.Fonte="",ORÇAMENTO.CodBarra,CONCATENATE(ORÇAMENTO.Fonte," ",ORÇAMENTO.CodBarra)))</f>
        <v>SINAPI 93358</v>
      </c>
      <c r="AF47" s="58" t="e">
        <f ca="1">IF(ISERROR(INDIRECT(ORÇAMENTO.BancoRef)),"(abra o arquivo 'Referência "&amp;Excel_BuiltIn_Database&amp;".xls)",IF(OR($C47&lt;&gt;"S",ORÇAMENTO.CodBarra=""),"(Sem Código)",IF(ISERROR(MATCH($AE47,INDIRECT(ORÇAMENTO.BancoRef),0)),"(Código não identificado nas referências)",MATCH($AE47,INDIRECT(ORÇAMENTO.BancoRef),0))))</f>
        <v>#VALUE!</v>
      </c>
      <c r="AG47" s="59" t="e">
        <f ca="1">ROUND(IF(DESONERACAO="sim",REFERENCIA.Desonerado,REFERENCIA.NaoDesonerado),2)</f>
        <v>#VALUE!</v>
      </c>
      <c r="AH47" s="60">
        <f t="shared" si="44"/>
        <v>0.2223</v>
      </c>
      <c r="AJ47" s="61">
        <v>12.02</v>
      </c>
      <c r="AL47" s="62"/>
      <c r="AM47" s="63" t="e">
        <f t="shared" ca="1" si="0"/>
        <v>#VALUE!</v>
      </c>
      <c r="AN47" s="64" t="e">
        <f t="shared" ca="1" si="45"/>
        <v>#VALUE!</v>
      </c>
    </row>
    <row r="48" spans="1:40" x14ac:dyDescent="0.2">
      <c r="A48" t="str">
        <f t="shared" si="41"/>
        <v>S</v>
      </c>
      <c r="B48">
        <f t="shared" ca="1" si="46"/>
        <v>3</v>
      </c>
      <c r="C48" t="str">
        <f t="shared" ca="1" si="47"/>
        <v>S</v>
      </c>
      <c r="D48">
        <f t="shared" ca="1" si="48"/>
        <v>0</v>
      </c>
      <c r="E48" t="e">
        <f ca="1">IF($C48=1,OFFSET(E48,-1,0)+MAX(1,COUNTIF([1]QCI!$A$13:$A$24,OFFSET(ORÇAMENTO!E48,-1,0))),OFFSET(E48,-1,0))</f>
        <v>#VALUE!</v>
      </c>
      <c r="F48">
        <f t="shared" ca="1" si="49"/>
        <v>2</v>
      </c>
      <c r="G48">
        <f t="shared" ca="1" si="50"/>
        <v>1</v>
      </c>
      <c r="H48">
        <f t="shared" ca="1" si="51"/>
        <v>0</v>
      </c>
      <c r="I48" t="e">
        <f t="shared" ca="1" si="52"/>
        <v>#VALUE!</v>
      </c>
      <c r="J48">
        <f t="shared" ca="1" si="9"/>
        <v>0</v>
      </c>
      <c r="K48">
        <f ca="1">IF(OR($C48="S",$C48=0),0,MATCH(OFFSET($D48,0,$C48)+IF($C48&lt;&gt;1,1,COUNTIF([1]QCI!$A$13:$A$24,ORÇAMENTO!E48)),OFFSET($D48,1,$C48,ROW($C$145)-ROW($C48)),0))</f>
        <v>0</v>
      </c>
      <c r="L48" s="42" t="e">
        <f t="shared" ca="1" si="53"/>
        <v>#VALUE!</v>
      </c>
      <c r="M48" s="43" t="s">
        <v>7</v>
      </c>
      <c r="N48" s="44" t="str">
        <f t="shared" ca="1" si="54"/>
        <v>Serviço</v>
      </c>
      <c r="O48" s="45" t="e">
        <f t="shared" ca="1" si="55"/>
        <v>#VALUE!</v>
      </c>
      <c r="P48" s="46" t="s">
        <v>62</v>
      </c>
      <c r="Q48" s="47" t="s">
        <v>123</v>
      </c>
      <c r="R48" s="48" t="s">
        <v>124</v>
      </c>
      <c r="S48" s="49" t="s">
        <v>78</v>
      </c>
      <c r="T48" s="50" t="e">
        <f ca="1">OFFSET([1]CÁLCULO!H$15,ROW($T48)-ROW(T$15),0)</f>
        <v>#VALUE!</v>
      </c>
      <c r="U48" s="51" t="e">
        <f t="shared" ca="1" si="23"/>
        <v>#VALUE!</v>
      </c>
      <c r="V48" s="52" t="s">
        <v>10</v>
      </c>
      <c r="W48" s="50" t="e">
        <f ca="1">IF($C48="S",ROUND(IF(TIPOORCAMENTO="Proposto",ORÇAMENTO.CustoUnitario*(1+$AH48),ORÇAMENTO.PrecoUnitarioLicitado),15-13*$AF$10),0)</f>
        <v>#VALUE!</v>
      </c>
      <c r="X48" s="53" t="e">
        <f t="shared" ca="1" si="42"/>
        <v>#VALUE!</v>
      </c>
      <c r="Y48" s="54" t="s">
        <v>63</v>
      </c>
      <c r="Z48" t="e">
        <f t="shared" ca="1" si="56"/>
        <v>#VALUE!</v>
      </c>
      <c r="AA48" s="55" t="e">
        <f ca="1">IF($C48="S",IF($Z48="CP",$X48,IF($Z48="RA",(($X48)*[1]QCI!$AA$3),0)),SomaAgrup)</f>
        <v>#VALUE!</v>
      </c>
      <c r="AB48" s="56" t="e">
        <f t="shared" ca="1" si="43"/>
        <v>#VALUE!</v>
      </c>
      <c r="AC48" s="57" t="e">
        <f ca="1">IF($N48="","",IF(ORÇAMENTO.Descricao="","DESCRIÇÃO",IF(AND($C48="S",ORÇAMENTO.Unidade=""),"UNIDADE",IF($X48&lt;0,"VALOR NEGATIVO",IF(OR(AND(TIPOORCAMENTO="Proposto",$AG48&lt;&gt;"",$AG48&gt;0,ORÇAMENTO.CustoUnitario&gt;$AG48),AND(TIPOORCAMENTO="LICITADO",ORÇAMENTO.PrecoUnitarioLicitado&gt;$AN48)),"ACIMA REF.","")))))</f>
        <v>#VALUE!</v>
      </c>
      <c r="AD48" t="str">
        <f ca="1">IF(C48&lt;=CRONO.NivelExibicao,MAX($AD$15:OFFSET(AD48,-1,0))+IF($C48&lt;&gt;1,1,MAX(1,COUNTIF([1]QCI!$A$13:$A$24,OFFSET($E48,-1,0)))),"")</f>
        <v/>
      </c>
      <c r="AE48" s="4" t="str">
        <f ca="1">IF(AND($C48="S",ORÇAMENTO.CodBarra&lt;&gt;""),IF(ORÇAMENTO.Fonte="",ORÇAMENTO.CodBarra,CONCATENATE(ORÇAMENTO.Fonte," ",ORÇAMENTO.CodBarra)))</f>
        <v>SINAPI 96995</v>
      </c>
      <c r="AF48" s="58" t="e">
        <f ca="1">IF(ISERROR(INDIRECT(ORÇAMENTO.BancoRef)),"(abra o arquivo 'Referência "&amp;Excel_BuiltIn_Database&amp;".xls)",IF(OR($C48&lt;&gt;"S",ORÇAMENTO.CodBarra=""),"(Sem Código)",IF(ISERROR(MATCH($AE48,INDIRECT(ORÇAMENTO.BancoRef),0)),"(Código não identificado nas referências)",MATCH($AE48,INDIRECT(ORÇAMENTO.BancoRef),0))))</f>
        <v>#VALUE!</v>
      </c>
      <c r="AG48" s="59" t="e">
        <f ca="1">ROUND(IF(DESONERACAO="sim",REFERENCIA.Desonerado,REFERENCIA.NaoDesonerado),2)</f>
        <v>#VALUE!</v>
      </c>
      <c r="AH48" s="60">
        <f t="shared" si="44"/>
        <v>0.2223</v>
      </c>
      <c r="AJ48" s="61">
        <v>3.2</v>
      </c>
      <c r="AL48" s="62"/>
      <c r="AM48" s="63" t="e">
        <f t="shared" ca="1" si="0"/>
        <v>#VALUE!</v>
      </c>
      <c r="AN48" s="64" t="e">
        <f t="shared" ca="1" si="45"/>
        <v>#VALUE!</v>
      </c>
    </row>
    <row r="49" spans="1:40" ht="38.25" x14ac:dyDescent="0.2">
      <c r="A49" t="str">
        <f t="shared" si="41"/>
        <v>S</v>
      </c>
      <c r="B49">
        <f t="shared" ca="1" si="46"/>
        <v>3</v>
      </c>
      <c r="C49" t="str">
        <f t="shared" ca="1" si="47"/>
        <v>S</v>
      </c>
      <c r="D49">
        <f t="shared" ca="1" si="48"/>
        <v>0</v>
      </c>
      <c r="E49" t="e">
        <f ca="1">IF($C49=1,OFFSET(E49,-1,0)+MAX(1,COUNTIF([1]QCI!$A$13:$A$24,OFFSET(ORÇAMENTO!E49,-1,0))),OFFSET(E49,-1,0))</f>
        <v>#VALUE!</v>
      </c>
      <c r="F49">
        <f t="shared" ca="1" si="49"/>
        <v>2</v>
      </c>
      <c r="G49">
        <f t="shared" ca="1" si="50"/>
        <v>1</v>
      </c>
      <c r="H49">
        <f t="shared" ca="1" si="51"/>
        <v>0</v>
      </c>
      <c r="I49" t="e">
        <f t="shared" ca="1" si="52"/>
        <v>#VALUE!</v>
      </c>
      <c r="J49">
        <f t="shared" ca="1" si="9"/>
        <v>0</v>
      </c>
      <c r="K49">
        <f ca="1">IF(OR($C49="S",$C49=0),0,MATCH(OFFSET($D49,0,$C49)+IF($C49&lt;&gt;1,1,COUNTIF([1]QCI!$A$13:$A$24,ORÇAMENTO!E49)),OFFSET($D49,1,$C49,ROW($C$145)-ROW($C49)),0))</f>
        <v>0</v>
      </c>
      <c r="L49" s="42" t="e">
        <f t="shared" ca="1" si="53"/>
        <v>#VALUE!</v>
      </c>
      <c r="M49" s="43" t="s">
        <v>7</v>
      </c>
      <c r="N49" s="44" t="str">
        <f t="shared" ca="1" si="54"/>
        <v>Serviço</v>
      </c>
      <c r="O49" s="45" t="e">
        <f t="shared" ca="1" si="55"/>
        <v>#VALUE!</v>
      </c>
      <c r="P49" s="46" t="s">
        <v>62</v>
      </c>
      <c r="Q49" s="47" t="s">
        <v>125</v>
      </c>
      <c r="R49" s="48" t="s">
        <v>126</v>
      </c>
      <c r="S49" s="49" t="s">
        <v>75</v>
      </c>
      <c r="T49" s="50" t="e">
        <f ca="1">OFFSET([1]CÁLCULO!H$15,ROW($T49)-ROW(T$15),0)</f>
        <v>#VALUE!</v>
      </c>
      <c r="U49" s="51" t="e">
        <f t="shared" ca="1" si="23"/>
        <v>#VALUE!</v>
      </c>
      <c r="V49" s="52" t="s">
        <v>10</v>
      </c>
      <c r="W49" s="50" t="e">
        <f ca="1">IF($C49="S",ROUND(IF(TIPOORCAMENTO="Proposto",ORÇAMENTO.CustoUnitario*(1+$AH49),ORÇAMENTO.PrecoUnitarioLicitado),15-13*$AF$10),0)</f>
        <v>#VALUE!</v>
      </c>
      <c r="X49" s="53" t="e">
        <f t="shared" ca="1" si="42"/>
        <v>#VALUE!</v>
      </c>
      <c r="Y49" s="54" t="s">
        <v>63</v>
      </c>
      <c r="Z49" t="e">
        <f t="shared" ca="1" si="56"/>
        <v>#VALUE!</v>
      </c>
      <c r="AA49" s="55" t="e">
        <f ca="1">IF($C49="S",IF($Z49="CP",$X49,IF($Z49="RA",(($X49)*[1]QCI!$AA$3),0)),SomaAgrup)</f>
        <v>#VALUE!</v>
      </c>
      <c r="AB49" s="56" t="e">
        <f t="shared" ca="1" si="43"/>
        <v>#VALUE!</v>
      </c>
      <c r="AC49" s="57" t="e">
        <f ca="1">IF($N49="","",IF(ORÇAMENTO.Descricao="","DESCRIÇÃO",IF(AND($C49="S",ORÇAMENTO.Unidade=""),"UNIDADE",IF($X49&lt;0,"VALOR NEGATIVO",IF(OR(AND(TIPOORCAMENTO="Proposto",$AG49&lt;&gt;"",$AG49&gt;0,ORÇAMENTO.CustoUnitario&gt;$AG49),AND(TIPOORCAMENTO="LICITADO",ORÇAMENTO.PrecoUnitarioLicitado&gt;$AN49)),"ACIMA REF.","")))))</f>
        <v>#VALUE!</v>
      </c>
      <c r="AD49" t="str">
        <f ca="1">IF(C49&lt;=CRONO.NivelExibicao,MAX($AD$15:OFFSET(AD49,-1,0))+IF($C49&lt;&gt;1,1,MAX(1,COUNTIF([1]QCI!$A$13:$A$24,OFFSET($E49,-1,0)))),"")</f>
        <v/>
      </c>
      <c r="AE49" s="4" t="str">
        <f ca="1">IF(AND($C49="S",ORÇAMENTO.CodBarra&lt;&gt;""),IF(ORÇAMENTO.Fonte="",ORÇAMENTO.CodBarra,CONCATENATE(ORÇAMENTO.Fonte," ",ORÇAMENTO.CodBarra)))</f>
        <v>SINAPI 96535</v>
      </c>
      <c r="AF49" s="58" t="e">
        <f ca="1">IF(ISERROR(INDIRECT(ORÇAMENTO.BancoRef)),"(abra o arquivo 'Referência "&amp;Excel_BuiltIn_Database&amp;".xls)",IF(OR($C49&lt;&gt;"S",ORÇAMENTO.CodBarra=""),"(Sem Código)",IF(ISERROR(MATCH($AE49,INDIRECT(ORÇAMENTO.BancoRef),0)),"(Código não identificado nas referências)",MATCH($AE49,INDIRECT(ORÇAMENTO.BancoRef),0))))</f>
        <v>#VALUE!</v>
      </c>
      <c r="AG49" s="59" t="e">
        <f ca="1">ROUND(IF(DESONERACAO="sim",REFERENCIA.Desonerado,REFERENCIA.NaoDesonerado),2)</f>
        <v>#VALUE!</v>
      </c>
      <c r="AH49" s="60">
        <f t="shared" si="44"/>
        <v>0.2223</v>
      </c>
      <c r="AJ49" s="61">
        <v>34.35</v>
      </c>
      <c r="AL49" s="62"/>
      <c r="AM49" s="63" t="e">
        <f t="shared" ca="1" si="0"/>
        <v>#VALUE!</v>
      </c>
      <c r="AN49" s="64" t="e">
        <f t="shared" ca="1" si="45"/>
        <v>#VALUE!</v>
      </c>
    </row>
    <row r="50" spans="1:40" ht="38.25" x14ac:dyDescent="0.2">
      <c r="A50" t="str">
        <f t="shared" si="41"/>
        <v>S</v>
      </c>
      <c r="B50">
        <f t="shared" ca="1" si="46"/>
        <v>3</v>
      </c>
      <c r="C50" t="str">
        <f t="shared" ca="1" si="47"/>
        <v>S</v>
      </c>
      <c r="D50">
        <f t="shared" ca="1" si="48"/>
        <v>0</v>
      </c>
      <c r="E50" t="e">
        <f ca="1">IF($C50=1,OFFSET(E50,-1,0)+MAX(1,COUNTIF([1]QCI!$A$13:$A$24,OFFSET(ORÇAMENTO!E50,-1,0))),OFFSET(E50,-1,0))</f>
        <v>#VALUE!</v>
      </c>
      <c r="F50">
        <f t="shared" ca="1" si="49"/>
        <v>2</v>
      </c>
      <c r="G50">
        <f t="shared" ca="1" si="50"/>
        <v>1</v>
      </c>
      <c r="H50">
        <f t="shared" ca="1" si="51"/>
        <v>0</v>
      </c>
      <c r="I50" t="e">
        <f t="shared" ca="1" si="52"/>
        <v>#VALUE!</v>
      </c>
      <c r="J50">
        <f t="shared" ca="1" si="9"/>
        <v>0</v>
      </c>
      <c r="K50">
        <f ca="1">IF(OR($C50="S",$C50=0),0,MATCH(OFFSET($D50,0,$C50)+IF($C50&lt;&gt;1,1,COUNTIF([1]QCI!$A$13:$A$24,ORÇAMENTO!E50)),OFFSET($D50,1,$C50,ROW($C$145)-ROW($C50)),0))</f>
        <v>0</v>
      </c>
      <c r="L50" s="42" t="e">
        <f t="shared" ca="1" si="53"/>
        <v>#VALUE!</v>
      </c>
      <c r="M50" s="43" t="s">
        <v>7</v>
      </c>
      <c r="N50" s="44" t="str">
        <f t="shared" ca="1" si="54"/>
        <v>Serviço</v>
      </c>
      <c r="O50" s="45" t="e">
        <f t="shared" ca="1" si="55"/>
        <v>#VALUE!</v>
      </c>
      <c r="P50" s="46" t="s">
        <v>62</v>
      </c>
      <c r="Q50" s="47" t="s">
        <v>127</v>
      </c>
      <c r="R50" s="48" t="s">
        <v>128</v>
      </c>
      <c r="S50" s="49" t="s">
        <v>78</v>
      </c>
      <c r="T50" s="50" t="e">
        <f ca="1">OFFSET([1]CÁLCULO!H$15,ROW($T50)-ROW(T$15),0)</f>
        <v>#VALUE!</v>
      </c>
      <c r="U50" s="51" t="e">
        <f t="shared" ca="1" si="23"/>
        <v>#VALUE!</v>
      </c>
      <c r="V50" s="52" t="s">
        <v>10</v>
      </c>
      <c r="W50" s="50" t="e">
        <f ca="1">IF($C50="S",ROUND(IF(TIPOORCAMENTO="Proposto",ORÇAMENTO.CustoUnitario*(1+$AH50),ORÇAMENTO.PrecoUnitarioLicitado),15-13*$AF$10),0)</f>
        <v>#VALUE!</v>
      </c>
      <c r="X50" s="53" t="e">
        <f t="shared" ca="1" si="42"/>
        <v>#VALUE!</v>
      </c>
      <c r="Y50" s="54" t="s">
        <v>63</v>
      </c>
      <c r="Z50" t="e">
        <f t="shared" ca="1" si="56"/>
        <v>#VALUE!</v>
      </c>
      <c r="AA50" s="55" t="e">
        <f ca="1">IF($C50="S",IF($Z50="CP",$X50,IF($Z50="RA",(($X50)*[1]QCI!$AA$3),0)),SomaAgrup)</f>
        <v>#VALUE!</v>
      </c>
      <c r="AB50" s="56" t="e">
        <f t="shared" ca="1" si="43"/>
        <v>#VALUE!</v>
      </c>
      <c r="AC50" s="57" t="e">
        <f ca="1">IF($N50="","",IF(ORÇAMENTO.Descricao="","DESCRIÇÃO",IF(AND($C50="S",ORÇAMENTO.Unidade=""),"UNIDADE",IF($X50&lt;0,"VALOR NEGATIVO",IF(OR(AND(TIPOORCAMENTO="Proposto",$AG50&lt;&gt;"",$AG50&gt;0,ORÇAMENTO.CustoUnitario&gt;$AG50),AND(TIPOORCAMENTO="LICITADO",ORÇAMENTO.PrecoUnitarioLicitado&gt;$AN50)),"ACIMA REF.","")))))</f>
        <v>#VALUE!</v>
      </c>
      <c r="AD50" t="str">
        <f ca="1">IF(C50&lt;=CRONO.NivelExibicao,MAX($AD$15:OFFSET(AD50,-1,0))+IF($C50&lt;&gt;1,1,MAX(1,COUNTIF([1]QCI!$A$13:$A$24,OFFSET($E50,-1,0)))),"")</f>
        <v/>
      </c>
      <c r="AE50" s="4" t="str">
        <f ca="1">IF(AND($C50="S",ORÇAMENTO.CodBarra&lt;&gt;""),IF(ORÇAMENTO.Fonte="",ORÇAMENTO.CodBarra,CONCATENATE(ORÇAMENTO.Fonte," ",ORÇAMENTO.CodBarra)))</f>
        <v>SINAPI 102479</v>
      </c>
      <c r="AF50" s="58" t="e">
        <f ca="1">IF(ISERROR(INDIRECT(ORÇAMENTO.BancoRef)),"(abra o arquivo 'Referência "&amp;Excel_BuiltIn_Database&amp;".xls)",IF(OR($C50&lt;&gt;"S",ORÇAMENTO.CodBarra=""),"(Sem Código)",IF(ISERROR(MATCH($AE50,INDIRECT(ORÇAMENTO.BancoRef),0)),"(Código não identificado nas referências)",MATCH($AE50,INDIRECT(ORÇAMENTO.BancoRef),0))))</f>
        <v>#VALUE!</v>
      </c>
      <c r="AG50" s="59" t="e">
        <f ca="1">ROUND(IF(DESONERACAO="sim",REFERENCIA.Desonerado,REFERENCIA.NaoDesonerado),2)</f>
        <v>#VALUE!</v>
      </c>
      <c r="AH50" s="60">
        <f t="shared" si="44"/>
        <v>0.2223</v>
      </c>
      <c r="AJ50" s="61">
        <v>0.97</v>
      </c>
      <c r="AL50" s="62"/>
      <c r="AM50" s="63" t="e">
        <f t="shared" ca="1" si="0"/>
        <v>#VALUE!</v>
      </c>
      <c r="AN50" s="64" t="e">
        <f t="shared" ca="1" si="45"/>
        <v>#VALUE!</v>
      </c>
    </row>
    <row r="51" spans="1:40" ht="25.5" x14ac:dyDescent="0.2">
      <c r="A51" t="str">
        <f t="shared" si="41"/>
        <v>S</v>
      </c>
      <c r="B51">
        <f t="shared" ca="1" si="46"/>
        <v>3</v>
      </c>
      <c r="C51" t="str">
        <f t="shared" ca="1" si="47"/>
        <v>S</v>
      </c>
      <c r="D51">
        <f t="shared" ca="1" si="48"/>
        <v>0</v>
      </c>
      <c r="E51" t="e">
        <f ca="1">IF($C51=1,OFFSET(E51,-1,0)+MAX(1,COUNTIF([1]QCI!$A$13:$A$24,OFFSET(ORÇAMENTO!E51,-1,0))),OFFSET(E51,-1,0))</f>
        <v>#VALUE!</v>
      </c>
      <c r="F51">
        <f t="shared" ca="1" si="49"/>
        <v>2</v>
      </c>
      <c r="G51">
        <f t="shared" ca="1" si="50"/>
        <v>1</v>
      </c>
      <c r="H51">
        <f t="shared" ca="1" si="51"/>
        <v>0</v>
      </c>
      <c r="I51" t="e">
        <f t="shared" ca="1" si="52"/>
        <v>#VALUE!</v>
      </c>
      <c r="J51">
        <f t="shared" ca="1" si="9"/>
        <v>0</v>
      </c>
      <c r="K51">
        <f ca="1">IF(OR($C51="S",$C51=0),0,MATCH(OFFSET($D51,0,$C51)+IF($C51&lt;&gt;1,1,COUNTIF([1]QCI!$A$13:$A$24,ORÇAMENTO!E51)),OFFSET($D51,1,$C51,ROW($C$145)-ROW($C51)),0))</f>
        <v>0</v>
      </c>
      <c r="L51" s="42" t="e">
        <f t="shared" ca="1" si="53"/>
        <v>#VALUE!</v>
      </c>
      <c r="M51" s="43" t="s">
        <v>7</v>
      </c>
      <c r="N51" s="44" t="str">
        <f t="shared" ca="1" si="54"/>
        <v>Serviço</v>
      </c>
      <c r="O51" s="45" t="e">
        <f t="shared" ca="1" si="55"/>
        <v>#VALUE!</v>
      </c>
      <c r="P51" s="46" t="s">
        <v>62</v>
      </c>
      <c r="Q51" s="47" t="s">
        <v>129</v>
      </c>
      <c r="R51" s="48" t="s">
        <v>130</v>
      </c>
      <c r="S51" s="49" t="s">
        <v>131</v>
      </c>
      <c r="T51" s="50" t="e">
        <f ca="1">OFFSET([1]CÁLCULO!H$15,ROW($T51)-ROW(T$15),0)</f>
        <v>#VALUE!</v>
      </c>
      <c r="U51" s="51" t="e">
        <f t="shared" ca="1" si="23"/>
        <v>#VALUE!</v>
      </c>
      <c r="V51" s="52" t="s">
        <v>10</v>
      </c>
      <c r="W51" s="50" t="e">
        <f ca="1">IF($C51="S",ROUND(IF(TIPOORCAMENTO="Proposto",ORÇAMENTO.CustoUnitario*(1+$AH51),ORÇAMENTO.PrecoUnitarioLicitado),15-13*$AF$10),0)</f>
        <v>#VALUE!</v>
      </c>
      <c r="X51" s="53" t="e">
        <f t="shared" ca="1" si="42"/>
        <v>#VALUE!</v>
      </c>
      <c r="Y51" s="54" t="s">
        <v>63</v>
      </c>
      <c r="Z51" t="e">
        <f t="shared" ca="1" si="56"/>
        <v>#VALUE!</v>
      </c>
      <c r="AA51" s="55" t="e">
        <f ca="1">IF($C51="S",IF($Z51="CP",$X51,IF($Z51="RA",(($X51)*[1]QCI!$AA$3),0)),SomaAgrup)</f>
        <v>#VALUE!</v>
      </c>
      <c r="AB51" s="56" t="e">
        <f t="shared" ca="1" si="43"/>
        <v>#VALUE!</v>
      </c>
      <c r="AC51" s="57" t="e">
        <f ca="1">IF($N51="","",IF(ORÇAMENTO.Descricao="","DESCRIÇÃO",IF(AND($C51="S",ORÇAMENTO.Unidade=""),"UNIDADE",IF($X51&lt;0,"VALOR NEGATIVO",IF(OR(AND(TIPOORCAMENTO="Proposto",$AG51&lt;&gt;"",$AG51&gt;0,ORÇAMENTO.CustoUnitario&gt;$AG51),AND(TIPOORCAMENTO="LICITADO",ORÇAMENTO.PrecoUnitarioLicitado&gt;$AN51)),"ACIMA REF.","")))))</f>
        <v>#VALUE!</v>
      </c>
      <c r="AD51" t="str">
        <f ca="1">IF(C51&lt;=CRONO.NivelExibicao,MAX($AD$15:OFFSET(AD51,-1,0))+IF($C51&lt;&gt;1,1,MAX(1,COUNTIF([1]QCI!$A$13:$A$24,OFFSET($E51,-1,0)))),"")</f>
        <v/>
      </c>
      <c r="AE51" s="4" t="str">
        <f ca="1">IF(AND($C51="S",ORÇAMENTO.CodBarra&lt;&gt;""),IF(ORÇAMENTO.Fonte="",ORÇAMENTO.CodBarra,CONCATENATE(ORÇAMENTO.Fonte," ",ORÇAMENTO.CodBarra)))</f>
        <v>SINAPI 96543</v>
      </c>
      <c r="AF51" s="58" t="e">
        <f ca="1">IF(ISERROR(INDIRECT(ORÇAMENTO.BancoRef)),"(abra o arquivo 'Referência "&amp;Excel_BuiltIn_Database&amp;".xls)",IF(OR($C51&lt;&gt;"S",ORÇAMENTO.CodBarra=""),"(Sem Código)",IF(ISERROR(MATCH($AE51,INDIRECT(ORÇAMENTO.BancoRef),0)),"(Código não identificado nas referências)",MATCH($AE51,INDIRECT(ORÇAMENTO.BancoRef),0))))</f>
        <v>#VALUE!</v>
      </c>
      <c r="AG51" s="59" t="e">
        <f ca="1">ROUND(IF(DESONERACAO="sim",REFERENCIA.Desonerado,REFERENCIA.NaoDesonerado),2)</f>
        <v>#VALUE!</v>
      </c>
      <c r="AH51" s="60">
        <f t="shared" si="44"/>
        <v>0.2223</v>
      </c>
      <c r="AJ51" s="61">
        <v>134.22999999999999</v>
      </c>
      <c r="AL51" s="62"/>
      <c r="AM51" s="63" t="e">
        <f t="shared" ca="1" si="0"/>
        <v>#VALUE!</v>
      </c>
      <c r="AN51" s="64" t="e">
        <f t="shared" ca="1" si="45"/>
        <v>#VALUE!</v>
      </c>
    </row>
    <row r="52" spans="1:40" ht="25.5" x14ac:dyDescent="0.2">
      <c r="A52" t="str">
        <f t="shared" si="41"/>
        <v>S</v>
      </c>
      <c r="B52">
        <f t="shared" ca="1" si="46"/>
        <v>3</v>
      </c>
      <c r="C52" t="str">
        <f t="shared" ca="1" si="47"/>
        <v>S</v>
      </c>
      <c r="D52">
        <f t="shared" ca="1" si="48"/>
        <v>0</v>
      </c>
      <c r="E52" t="e">
        <f ca="1">IF($C52=1,OFFSET(E52,-1,0)+MAX(1,COUNTIF([1]QCI!$A$13:$A$24,OFFSET(ORÇAMENTO!E52,-1,0))),OFFSET(E52,-1,0))</f>
        <v>#VALUE!</v>
      </c>
      <c r="F52">
        <f t="shared" ca="1" si="49"/>
        <v>2</v>
      </c>
      <c r="G52">
        <f t="shared" ca="1" si="50"/>
        <v>1</v>
      </c>
      <c r="H52">
        <f t="shared" ca="1" si="51"/>
        <v>0</v>
      </c>
      <c r="I52" t="e">
        <f t="shared" ca="1" si="52"/>
        <v>#VALUE!</v>
      </c>
      <c r="J52">
        <f t="shared" ca="1" si="9"/>
        <v>0</v>
      </c>
      <c r="K52">
        <f ca="1">IF(OR($C52="S",$C52=0),0,MATCH(OFFSET($D52,0,$C52)+IF($C52&lt;&gt;1,1,COUNTIF([1]QCI!$A$13:$A$24,ORÇAMENTO!E52)),OFFSET($D52,1,$C52,ROW($C$145)-ROW($C52)),0))</f>
        <v>0</v>
      </c>
      <c r="L52" s="42" t="e">
        <f t="shared" ca="1" si="53"/>
        <v>#VALUE!</v>
      </c>
      <c r="M52" s="43" t="s">
        <v>7</v>
      </c>
      <c r="N52" s="44" t="str">
        <f t="shared" ca="1" si="54"/>
        <v>Serviço</v>
      </c>
      <c r="O52" s="45" t="e">
        <f t="shared" ca="1" si="55"/>
        <v>#VALUE!</v>
      </c>
      <c r="P52" s="46" t="s">
        <v>62</v>
      </c>
      <c r="Q52" s="47" t="s">
        <v>132</v>
      </c>
      <c r="R52" s="48" t="s">
        <v>133</v>
      </c>
      <c r="S52" s="49" t="s">
        <v>131</v>
      </c>
      <c r="T52" s="50" t="e">
        <f ca="1">OFFSET([1]CÁLCULO!H$15,ROW($T52)-ROW(T$15),0)</f>
        <v>#VALUE!</v>
      </c>
      <c r="U52" s="51" t="e">
        <f t="shared" ca="1" si="23"/>
        <v>#VALUE!</v>
      </c>
      <c r="V52" s="52" t="s">
        <v>10</v>
      </c>
      <c r="W52" s="50" t="e">
        <f ca="1">IF($C52="S",ROUND(IF(TIPOORCAMENTO="Proposto",ORÇAMENTO.CustoUnitario*(1+$AH52),ORÇAMENTO.PrecoUnitarioLicitado),15-13*$AF$10),0)</f>
        <v>#VALUE!</v>
      </c>
      <c r="X52" s="53" t="e">
        <f t="shared" ca="1" si="42"/>
        <v>#VALUE!</v>
      </c>
      <c r="Y52" s="54" t="s">
        <v>63</v>
      </c>
      <c r="Z52" t="e">
        <f t="shared" ca="1" si="56"/>
        <v>#VALUE!</v>
      </c>
      <c r="AA52" s="55" t="e">
        <f ca="1">IF($C52="S",IF($Z52="CP",$X52,IF($Z52="RA",(($X52)*[1]QCI!$AA$3),0)),SomaAgrup)</f>
        <v>#VALUE!</v>
      </c>
      <c r="AB52" s="56" t="e">
        <f t="shared" ca="1" si="43"/>
        <v>#VALUE!</v>
      </c>
      <c r="AC52" s="57" t="e">
        <f ca="1">IF($N52="","",IF(ORÇAMENTO.Descricao="","DESCRIÇÃO",IF(AND($C52="S",ORÇAMENTO.Unidade=""),"UNIDADE",IF($X52&lt;0,"VALOR NEGATIVO",IF(OR(AND(TIPOORCAMENTO="Proposto",$AG52&lt;&gt;"",$AG52&gt;0,ORÇAMENTO.CustoUnitario&gt;$AG52),AND(TIPOORCAMENTO="LICITADO",ORÇAMENTO.PrecoUnitarioLicitado&gt;$AN52)),"ACIMA REF.","")))))</f>
        <v>#VALUE!</v>
      </c>
      <c r="AD52" t="str">
        <f ca="1">IF(C52&lt;=CRONO.NivelExibicao,MAX($AD$15:OFFSET(AD52,-1,0))+IF($C52&lt;&gt;1,1,MAX(1,COUNTIF([1]QCI!$A$13:$A$24,OFFSET($E52,-1,0)))),"")</f>
        <v/>
      </c>
      <c r="AE52" s="4" t="str">
        <f ca="1">IF(AND($C52="S",ORÇAMENTO.CodBarra&lt;&gt;""),IF(ORÇAMENTO.Fonte="",ORÇAMENTO.CodBarra,CONCATENATE(ORÇAMENTO.Fonte," ",ORÇAMENTO.CodBarra)))</f>
        <v>SINAPI 96545</v>
      </c>
      <c r="AF52" s="58" t="e">
        <f ca="1">IF(ISERROR(INDIRECT(ORÇAMENTO.BancoRef)),"(abra o arquivo 'Referência "&amp;Excel_BuiltIn_Database&amp;".xls)",IF(OR($C52&lt;&gt;"S",ORÇAMENTO.CodBarra=""),"(Sem Código)",IF(ISERROR(MATCH($AE52,INDIRECT(ORÇAMENTO.BancoRef),0)),"(Código não identificado nas referências)",MATCH($AE52,INDIRECT(ORÇAMENTO.BancoRef),0))))</f>
        <v>#VALUE!</v>
      </c>
      <c r="AG52" s="59" t="e">
        <f ca="1">ROUND(IF(DESONERACAO="sim",REFERENCIA.Desonerado,REFERENCIA.NaoDesonerado),2)</f>
        <v>#VALUE!</v>
      </c>
      <c r="AH52" s="60">
        <f t="shared" si="44"/>
        <v>0.2223</v>
      </c>
      <c r="AJ52" s="61">
        <v>61.1</v>
      </c>
      <c r="AL52" s="62"/>
      <c r="AM52" s="63" t="e">
        <f t="shared" ca="1" si="0"/>
        <v>#VALUE!</v>
      </c>
      <c r="AN52" s="64" t="e">
        <f t="shared" ca="1" si="45"/>
        <v>#VALUE!</v>
      </c>
    </row>
    <row r="53" spans="1:40" ht="25.5" x14ac:dyDescent="0.2">
      <c r="A53" t="str">
        <f t="shared" si="41"/>
        <v>S</v>
      </c>
      <c r="B53">
        <f t="shared" ca="1" si="46"/>
        <v>3</v>
      </c>
      <c r="C53" t="str">
        <f t="shared" ca="1" si="47"/>
        <v>S</v>
      </c>
      <c r="D53">
        <f t="shared" ca="1" si="48"/>
        <v>0</v>
      </c>
      <c r="E53" t="e">
        <f ca="1">IF($C53=1,OFFSET(E53,-1,0)+MAX(1,COUNTIF([1]QCI!$A$13:$A$24,OFFSET(ORÇAMENTO!E53,-1,0))),OFFSET(E53,-1,0))</f>
        <v>#VALUE!</v>
      </c>
      <c r="F53">
        <f t="shared" ca="1" si="49"/>
        <v>2</v>
      </c>
      <c r="G53">
        <f t="shared" ca="1" si="50"/>
        <v>1</v>
      </c>
      <c r="H53">
        <f t="shared" ca="1" si="51"/>
        <v>0</v>
      </c>
      <c r="I53" t="e">
        <f t="shared" ca="1" si="52"/>
        <v>#VALUE!</v>
      </c>
      <c r="J53">
        <f t="shared" ca="1" si="9"/>
        <v>0</v>
      </c>
      <c r="K53">
        <f ca="1">IF(OR($C53="S",$C53=0),0,MATCH(OFFSET($D53,0,$C53)+IF($C53&lt;&gt;1,1,COUNTIF([1]QCI!$A$13:$A$24,ORÇAMENTO!E53)),OFFSET($D53,1,$C53,ROW($C$145)-ROW($C53)),0))</f>
        <v>0</v>
      </c>
      <c r="L53" s="42" t="e">
        <f t="shared" ca="1" si="53"/>
        <v>#VALUE!</v>
      </c>
      <c r="M53" s="43" t="s">
        <v>7</v>
      </c>
      <c r="N53" s="44" t="str">
        <f t="shared" ca="1" si="54"/>
        <v>Serviço</v>
      </c>
      <c r="O53" s="45" t="e">
        <f t="shared" ca="1" si="55"/>
        <v>#VALUE!</v>
      </c>
      <c r="P53" s="46" t="s">
        <v>62</v>
      </c>
      <c r="Q53" s="47" t="s">
        <v>134</v>
      </c>
      <c r="R53" s="48" t="s">
        <v>135</v>
      </c>
      <c r="S53" s="49" t="s">
        <v>131</v>
      </c>
      <c r="T53" s="50" t="e">
        <f ca="1">OFFSET([1]CÁLCULO!H$15,ROW($T53)-ROW(T$15),0)</f>
        <v>#VALUE!</v>
      </c>
      <c r="U53" s="51" t="e">
        <f t="shared" ca="1" si="23"/>
        <v>#VALUE!</v>
      </c>
      <c r="V53" s="52" t="s">
        <v>10</v>
      </c>
      <c r="W53" s="50" t="e">
        <f ca="1">IF($C53="S",ROUND(IF(TIPOORCAMENTO="Proposto",ORÇAMENTO.CustoUnitario*(1+$AH53),ORÇAMENTO.PrecoUnitarioLicitado),15-13*$AF$10),0)</f>
        <v>#VALUE!</v>
      </c>
      <c r="X53" s="53" t="e">
        <f t="shared" ca="1" si="42"/>
        <v>#VALUE!</v>
      </c>
      <c r="Y53" s="54" t="s">
        <v>63</v>
      </c>
      <c r="Z53" t="e">
        <f t="shared" ca="1" si="56"/>
        <v>#VALUE!</v>
      </c>
      <c r="AA53" s="55" t="e">
        <f ca="1">IF($C53="S",IF($Z53="CP",$X53,IF($Z53="RA",(($X53)*[1]QCI!$AA$3),0)),SomaAgrup)</f>
        <v>#VALUE!</v>
      </c>
      <c r="AB53" s="56" t="e">
        <f t="shared" ca="1" si="43"/>
        <v>#VALUE!</v>
      </c>
      <c r="AC53" s="57" t="e">
        <f ca="1">IF($N53="","",IF(ORÇAMENTO.Descricao="","DESCRIÇÃO",IF(AND($C53="S",ORÇAMENTO.Unidade=""),"UNIDADE",IF($X53&lt;0,"VALOR NEGATIVO",IF(OR(AND(TIPOORCAMENTO="Proposto",$AG53&lt;&gt;"",$AG53&gt;0,ORÇAMENTO.CustoUnitario&gt;$AG53),AND(TIPOORCAMENTO="LICITADO",ORÇAMENTO.PrecoUnitarioLicitado&gt;$AN53)),"ACIMA REF.","")))))</f>
        <v>#VALUE!</v>
      </c>
      <c r="AD53" t="str">
        <f ca="1">IF(C53&lt;=CRONO.NivelExibicao,MAX($AD$15:OFFSET(AD53,-1,0))+IF($C53&lt;&gt;1,1,MAX(1,COUNTIF([1]QCI!$A$13:$A$24,OFFSET($E53,-1,0)))),"")</f>
        <v/>
      </c>
      <c r="AE53" s="4" t="str">
        <f ca="1">IF(AND($C53="S",ORÇAMENTO.CodBarra&lt;&gt;""),IF(ORÇAMENTO.Fonte="",ORÇAMENTO.CodBarra,CONCATENATE(ORÇAMENTO.Fonte," ",ORÇAMENTO.CodBarra)))</f>
        <v>SINAPI 96546</v>
      </c>
      <c r="AF53" s="58" t="e">
        <f ca="1">IF(ISERROR(INDIRECT(ORÇAMENTO.BancoRef)),"(abra o arquivo 'Referência "&amp;Excel_BuiltIn_Database&amp;".xls)",IF(OR($C53&lt;&gt;"S",ORÇAMENTO.CodBarra=""),"(Sem Código)",IF(ISERROR(MATCH($AE53,INDIRECT(ORÇAMENTO.BancoRef),0)),"(Código não identificado nas referências)",MATCH($AE53,INDIRECT(ORÇAMENTO.BancoRef),0))))</f>
        <v>#VALUE!</v>
      </c>
      <c r="AG53" s="59" t="e">
        <f ca="1">ROUND(IF(DESONERACAO="sim",REFERENCIA.Desonerado,REFERENCIA.NaoDesonerado),2)</f>
        <v>#VALUE!</v>
      </c>
      <c r="AH53" s="60">
        <f t="shared" si="44"/>
        <v>0.2223</v>
      </c>
      <c r="AJ53" s="61">
        <v>340.1</v>
      </c>
      <c r="AL53" s="62"/>
      <c r="AM53" s="63" t="e">
        <f t="shared" ca="1" si="0"/>
        <v>#VALUE!</v>
      </c>
      <c r="AN53" s="64" t="e">
        <f t="shared" ca="1" si="45"/>
        <v>#VALUE!</v>
      </c>
    </row>
    <row r="54" spans="1:40" ht="38.25" x14ac:dyDescent="0.2">
      <c r="A54" t="str">
        <f t="shared" si="41"/>
        <v>S</v>
      </c>
      <c r="B54">
        <f t="shared" ca="1" si="46"/>
        <v>3</v>
      </c>
      <c r="C54" t="str">
        <f t="shared" ca="1" si="47"/>
        <v>S</v>
      </c>
      <c r="D54">
        <f t="shared" ca="1" si="48"/>
        <v>0</v>
      </c>
      <c r="E54" t="e">
        <f ca="1">IF($C54=1,OFFSET(E54,-1,0)+MAX(1,COUNTIF([1]QCI!$A$13:$A$24,OFFSET(ORÇAMENTO!E54,-1,0))),OFFSET(E54,-1,0))</f>
        <v>#VALUE!</v>
      </c>
      <c r="F54">
        <f t="shared" ca="1" si="49"/>
        <v>2</v>
      </c>
      <c r="G54">
        <f t="shared" ca="1" si="50"/>
        <v>1</v>
      </c>
      <c r="H54">
        <f t="shared" ca="1" si="51"/>
        <v>0</v>
      </c>
      <c r="I54" t="e">
        <f t="shared" ca="1" si="52"/>
        <v>#VALUE!</v>
      </c>
      <c r="J54">
        <f t="shared" ca="1" si="9"/>
        <v>0</v>
      </c>
      <c r="K54">
        <f ca="1">IF(OR($C54="S",$C54=0),0,MATCH(OFFSET($D54,0,$C54)+IF($C54&lt;&gt;1,1,COUNTIF([1]QCI!$A$13:$A$24,ORÇAMENTO!E54)),OFFSET($D54,1,$C54,ROW($C$145)-ROW($C54)),0))</f>
        <v>0</v>
      </c>
      <c r="L54" s="42" t="e">
        <f t="shared" ca="1" si="53"/>
        <v>#VALUE!</v>
      </c>
      <c r="M54" s="43" t="s">
        <v>7</v>
      </c>
      <c r="N54" s="44" t="str">
        <f t="shared" ca="1" si="54"/>
        <v>Serviço</v>
      </c>
      <c r="O54" s="45" t="e">
        <f t="shared" ca="1" si="55"/>
        <v>#VALUE!</v>
      </c>
      <c r="P54" s="46" t="s">
        <v>62</v>
      </c>
      <c r="Q54" s="47" t="s">
        <v>136</v>
      </c>
      <c r="R54" s="48" t="s">
        <v>137</v>
      </c>
      <c r="S54" s="49" t="s">
        <v>78</v>
      </c>
      <c r="T54" s="50" t="e">
        <f ca="1">OFFSET([1]CÁLCULO!H$15,ROW($T54)-ROW(T$15),0)</f>
        <v>#VALUE!</v>
      </c>
      <c r="U54" s="51" t="e">
        <f t="shared" ca="1" si="23"/>
        <v>#VALUE!</v>
      </c>
      <c r="V54" s="52" t="s">
        <v>10</v>
      </c>
      <c r="W54" s="50" t="e">
        <f ca="1">IF($C54="S",ROUND(IF(TIPOORCAMENTO="Proposto",ORÇAMENTO.CustoUnitario*(1+$AH54),ORÇAMENTO.PrecoUnitarioLicitado),15-13*$AF$10),0)</f>
        <v>#VALUE!</v>
      </c>
      <c r="X54" s="53" t="e">
        <f t="shared" ca="1" si="42"/>
        <v>#VALUE!</v>
      </c>
      <c r="Y54" s="54" t="s">
        <v>63</v>
      </c>
      <c r="Z54" t="e">
        <f t="shared" ca="1" si="56"/>
        <v>#VALUE!</v>
      </c>
      <c r="AA54" s="55" t="e">
        <f ca="1">IF($C54="S",IF($Z54="CP",$X54,IF($Z54="RA",(($X54)*[1]QCI!$AA$3),0)),SomaAgrup)</f>
        <v>#VALUE!</v>
      </c>
      <c r="AB54" s="56" t="e">
        <f t="shared" ca="1" si="43"/>
        <v>#VALUE!</v>
      </c>
      <c r="AC54" s="57" t="e">
        <f ca="1">IF($N54="","",IF(ORÇAMENTO.Descricao="","DESCRIÇÃO",IF(AND($C54="S",ORÇAMENTO.Unidade=""),"UNIDADE",IF($X54&lt;0,"VALOR NEGATIVO",IF(OR(AND(TIPOORCAMENTO="Proposto",$AG54&lt;&gt;"",$AG54&gt;0,ORÇAMENTO.CustoUnitario&gt;$AG54),AND(TIPOORCAMENTO="LICITADO",ORÇAMENTO.PrecoUnitarioLicitado&gt;$AN54)),"ACIMA REF.","")))))</f>
        <v>#VALUE!</v>
      </c>
      <c r="AD54" t="str">
        <f ca="1">IF(C54&lt;=CRONO.NivelExibicao,MAX($AD$15:OFFSET(AD54,-1,0))+IF($C54&lt;&gt;1,1,MAX(1,COUNTIF([1]QCI!$A$13:$A$24,OFFSET($E54,-1,0)))),"")</f>
        <v/>
      </c>
      <c r="AE54" s="4" t="str">
        <f ca="1">IF(AND($C54="S",ORÇAMENTO.CodBarra&lt;&gt;""),IF(ORÇAMENTO.Fonte="",ORÇAMENTO.CodBarra,CONCATENATE(ORÇAMENTO.Fonte," ",ORÇAMENTO.CodBarra)))</f>
        <v>SINAPI 94971</v>
      </c>
      <c r="AF54" s="58" t="e">
        <f ca="1">IF(ISERROR(INDIRECT(ORÇAMENTO.BancoRef)),"(abra o arquivo 'Referência "&amp;Excel_BuiltIn_Database&amp;".xls)",IF(OR($C54&lt;&gt;"S",ORÇAMENTO.CodBarra=""),"(Sem Código)",IF(ISERROR(MATCH($AE54,INDIRECT(ORÇAMENTO.BancoRef),0)),"(Código não identificado nas referências)",MATCH($AE54,INDIRECT(ORÇAMENTO.BancoRef),0))))</f>
        <v>#VALUE!</v>
      </c>
      <c r="AG54" s="59" t="e">
        <f ca="1">ROUND(IF(DESONERACAO="sim",REFERENCIA.Desonerado,REFERENCIA.NaoDesonerado),2)</f>
        <v>#VALUE!</v>
      </c>
      <c r="AH54" s="60">
        <f t="shared" si="44"/>
        <v>0.2223</v>
      </c>
      <c r="AJ54" s="61">
        <v>5.93</v>
      </c>
      <c r="AL54" s="62"/>
      <c r="AM54" s="63" t="e">
        <f t="shared" ca="1" si="0"/>
        <v>#VALUE!</v>
      </c>
      <c r="AN54" s="64" t="e">
        <f t="shared" ca="1" si="45"/>
        <v>#VALUE!</v>
      </c>
    </row>
    <row r="55" spans="1:40" ht="25.5" x14ac:dyDescent="0.2">
      <c r="A55">
        <f t="shared" si="41"/>
        <v>3</v>
      </c>
      <c r="B55">
        <f t="shared" ca="1" si="46"/>
        <v>3</v>
      </c>
      <c r="C55">
        <f t="shared" ca="1" si="47"/>
        <v>3</v>
      </c>
      <c r="D55">
        <f t="shared" ca="1" si="48"/>
        <v>2</v>
      </c>
      <c r="E55" t="e">
        <f ca="1">IF($C55=1,OFFSET(E55,-1,0)+MAX(1,COUNTIF([1]QCI!$A$13:$A$24,OFFSET(ORÇAMENTO!E55,-1,0))),OFFSET(E55,-1,0))</f>
        <v>#VALUE!</v>
      </c>
      <c r="F55">
        <f t="shared" ca="1" si="49"/>
        <v>2</v>
      </c>
      <c r="G55">
        <f t="shared" ca="1" si="50"/>
        <v>2</v>
      </c>
      <c r="H55">
        <f t="shared" ca="1" si="51"/>
        <v>0</v>
      </c>
      <c r="I55">
        <f t="shared" ca="1" si="52"/>
        <v>0</v>
      </c>
      <c r="J55">
        <f t="shared" ca="1" si="9"/>
        <v>90</v>
      </c>
      <c r="K55">
        <f ca="1">IF(OR($C55="S",$C55=0),0,MATCH(OFFSET($D55,0,$C55)+IF($C55&lt;&gt;1,1,COUNTIF([1]QCI!$A$13:$A$24,ORÇAMENTO!E55)),OFFSET($D55,1,$C55,ROW($C$145)-ROW($C55)),0))</f>
        <v>2</v>
      </c>
      <c r="L55" s="42" t="e">
        <f t="shared" ca="1" si="53"/>
        <v>#VALUE!</v>
      </c>
      <c r="M55" s="43" t="s">
        <v>5</v>
      </c>
      <c r="N55" s="44" t="str">
        <f t="shared" ca="1" si="54"/>
        <v>Nível 3</v>
      </c>
      <c r="O55" s="45" t="e">
        <f t="shared" ca="1" si="55"/>
        <v>#VALUE!</v>
      </c>
      <c r="P55" s="46" t="s">
        <v>62</v>
      </c>
      <c r="Q55" s="47"/>
      <c r="R55" s="48" t="s">
        <v>138</v>
      </c>
      <c r="S55" s="49" t="s">
        <v>67</v>
      </c>
      <c r="T55" s="50" t="e">
        <f ca="1">OFFSET([1]CÁLCULO!H$15,ROW($T55)-ROW(T$15),0)</f>
        <v>#VALUE!</v>
      </c>
      <c r="U55" s="51"/>
      <c r="V55" s="52" t="s">
        <v>10</v>
      </c>
      <c r="W55" s="50">
        <f ca="1">IF($C55="S",ROUND(IF(TIPOORCAMENTO="Proposto",ORÇAMENTO.CustoUnitario*(1+$AH55),ORÇAMENTO.PrecoUnitarioLicitado),15-13*$AF$10),0)</f>
        <v>0</v>
      </c>
      <c r="X55" s="53" t="e">
        <f t="shared" ca="1" si="42"/>
        <v>#VALUE!</v>
      </c>
      <c r="Y55" s="54" t="s">
        <v>63</v>
      </c>
      <c r="Z55" t="e">
        <f t="shared" ca="1" si="56"/>
        <v>#VALUE!</v>
      </c>
      <c r="AA55" s="55" t="e">
        <f ca="1">IF($C55="S",IF($Z55="CP",$X55,IF($Z55="RA",(($X55)*[1]QCI!$AA$3),0)),SomaAgrup)</f>
        <v>#VALUE!</v>
      </c>
      <c r="AB55" s="56" t="e">
        <f t="shared" ca="1" si="43"/>
        <v>#VALUE!</v>
      </c>
      <c r="AC55" s="57" t="e">
        <f ca="1">IF($N55="","",IF(ORÇAMENTO.Descricao="","DESCRIÇÃO",IF(AND($C55="S",ORÇAMENTO.Unidade=""),"UNIDADE",IF($X55&lt;0,"VALOR NEGATIVO",IF(OR(AND(TIPOORCAMENTO="Proposto",$AG55&lt;&gt;"",$AG55&gt;0,ORÇAMENTO.CustoUnitario&gt;$AG55),AND(TIPOORCAMENTO="LICITADO",ORÇAMENTO.PrecoUnitarioLicitado&gt;$AN55)),"ACIMA REF.","")))))</f>
        <v>#VALUE!</v>
      </c>
      <c r="AD55" t="e">
        <f ca="1">IF(C55&lt;=CRONO.NivelExibicao,MAX($AD$15:OFFSET(AD55,-1,0))+IF($C55&lt;&gt;1,1,MAX(1,COUNTIF([1]QCI!$A$13:$A$24,OFFSET($E55,-1,0)))),"")</f>
        <v>#VALUE!</v>
      </c>
      <c r="AE55" s="4" t="b">
        <f ca="1">IF(AND($C55="S",ORÇAMENTO.CodBarra&lt;&gt;""),IF(ORÇAMENTO.Fonte="",ORÇAMENTO.CodBarra,CONCATENATE(ORÇAMENTO.Fonte," ",ORÇAMENTO.CodBarra)))</f>
        <v>0</v>
      </c>
      <c r="AF55" s="58" t="e">
        <f ca="1">IF(ISERROR(INDIRECT(ORÇAMENTO.BancoRef)),"(abra o arquivo 'Referência "&amp;Excel_BuiltIn_Database&amp;".xls)",IF(OR($C55&lt;&gt;"S",ORÇAMENTO.CodBarra=""),"(Sem Código)",IF(ISERROR(MATCH($AE55,INDIRECT(ORÇAMENTO.BancoRef),0)),"(Código não identificado nas referências)",MATCH($AE55,INDIRECT(ORÇAMENTO.BancoRef),0))))</f>
        <v>#VALUE!</v>
      </c>
      <c r="AG55" s="59" t="e">
        <f ca="1">ROUND(IF(DESONERACAO="sim",REFERENCIA.Desonerado,REFERENCIA.NaoDesonerado),2)</f>
        <v>#VALUE!</v>
      </c>
      <c r="AH55" s="60">
        <f t="shared" si="44"/>
        <v>0.2223</v>
      </c>
      <c r="AJ55" s="61"/>
      <c r="AL55" s="62"/>
      <c r="AM55" s="63" t="e">
        <f t="shared" ca="1" si="0"/>
        <v>#VALUE!</v>
      </c>
      <c r="AN55" s="64">
        <f t="shared" si="45"/>
        <v>0</v>
      </c>
    </row>
    <row r="56" spans="1:40" ht="127.5" x14ac:dyDescent="0.2">
      <c r="A56" t="str">
        <f t="shared" si="41"/>
        <v>S</v>
      </c>
      <c r="B56">
        <f t="shared" ca="1" si="46"/>
        <v>3</v>
      </c>
      <c r="C56" t="str">
        <f t="shared" ca="1" si="47"/>
        <v>S</v>
      </c>
      <c r="D56">
        <f t="shared" ca="1" si="48"/>
        <v>0</v>
      </c>
      <c r="E56" t="e">
        <f ca="1">IF($C56=1,OFFSET(E56,-1,0)+MAX(1,COUNTIF([1]QCI!$A$13:$A$24,OFFSET(ORÇAMENTO!E56,-1,0))),OFFSET(E56,-1,0))</f>
        <v>#VALUE!</v>
      </c>
      <c r="F56">
        <f t="shared" ca="1" si="49"/>
        <v>2</v>
      </c>
      <c r="G56">
        <f t="shared" ca="1" si="50"/>
        <v>2</v>
      </c>
      <c r="H56">
        <f t="shared" ca="1" si="51"/>
        <v>0</v>
      </c>
      <c r="I56" t="e">
        <f t="shared" ca="1" si="52"/>
        <v>#VALUE!</v>
      </c>
      <c r="J56">
        <f t="shared" ca="1" si="9"/>
        <v>0</v>
      </c>
      <c r="K56">
        <f ca="1">IF(OR($C56="S",$C56=0),0,MATCH(OFFSET($D56,0,$C56)+IF($C56&lt;&gt;1,1,COUNTIF([1]QCI!$A$13:$A$24,ORÇAMENTO!E56)),OFFSET($D56,1,$C56,ROW($C$145)-ROW($C56)),0))</f>
        <v>0</v>
      </c>
      <c r="L56" s="42" t="e">
        <f t="shared" ca="1" si="53"/>
        <v>#VALUE!</v>
      </c>
      <c r="M56" s="43" t="s">
        <v>7</v>
      </c>
      <c r="N56" s="44" t="str">
        <f t="shared" ca="1" si="54"/>
        <v>Serviço</v>
      </c>
      <c r="O56" s="45" t="e">
        <f t="shared" ca="1" si="55"/>
        <v>#VALUE!</v>
      </c>
      <c r="P56" s="46" t="s">
        <v>62</v>
      </c>
      <c r="Q56" s="47" t="s">
        <v>94</v>
      </c>
      <c r="R56" s="48" t="s">
        <v>139</v>
      </c>
      <c r="S56" s="49" t="s">
        <v>96</v>
      </c>
      <c r="T56" s="50" t="e">
        <f ca="1">OFFSET([1]CÁLCULO!H$15,ROW($T56)-ROW(T$15),0)</f>
        <v>#VALUE!</v>
      </c>
      <c r="U56" s="51">
        <v>115150</v>
      </c>
      <c r="V56" s="52" t="s">
        <v>10</v>
      </c>
      <c r="W56" s="50">
        <f ca="1">IF($C56="S",ROUND(IF(TIPOORCAMENTO="Proposto",ORÇAMENTO.CustoUnitario*(1+$AH56),ORÇAMENTO.PrecoUnitarioLicitado),15-13*$AF$10),0)</f>
        <v>140747.845</v>
      </c>
      <c r="X56" s="53" t="e">
        <f t="shared" ca="1" si="42"/>
        <v>#VALUE!</v>
      </c>
      <c r="Y56" s="54" t="s">
        <v>63</v>
      </c>
      <c r="Z56" t="e">
        <f t="shared" ca="1" si="56"/>
        <v>#VALUE!</v>
      </c>
      <c r="AA56" s="55" t="e">
        <f ca="1">IF($C56="S",IF($Z56="CP",$X56,IF($Z56="RA",(($X56)*[1]QCI!$AA$3),0)),SomaAgrup)</f>
        <v>#VALUE!</v>
      </c>
      <c r="AB56" s="56" t="e">
        <f t="shared" ca="1" si="43"/>
        <v>#VALUE!</v>
      </c>
      <c r="AC56" s="57" t="e">
        <f ca="1">IF($N56="","",IF(ORÇAMENTO.Descricao="","DESCRIÇÃO",IF(AND($C56="S",ORÇAMENTO.Unidade=""),"UNIDADE",IF($X56&lt;0,"VALOR NEGATIVO",IF(OR(AND(TIPOORCAMENTO="Proposto",$AG56&lt;&gt;"",$AG56&gt;0,ORÇAMENTO.CustoUnitario&gt;$AG56),AND(TIPOORCAMENTO="LICITADO",ORÇAMENTO.PrecoUnitarioLicitado&gt;$AN56)),"ACIMA REF.","")))))</f>
        <v>#VALUE!</v>
      </c>
      <c r="AD56" t="str">
        <f ca="1">IF(C56&lt;=CRONO.NivelExibicao,MAX($AD$15:OFFSET(AD56,-1,0))+IF($C56&lt;&gt;1,1,MAX(1,COUNTIF([1]QCI!$A$13:$A$24,OFFSET($E56,-1,0)))),"")</f>
        <v/>
      </c>
      <c r="AE56" s="4" t="str">
        <f ca="1">IF(AND($C56="S",ORÇAMENTO.CodBarra&lt;&gt;""),IF(ORÇAMENTO.Fonte="",ORÇAMENTO.CodBarra,CONCATENATE(ORÇAMENTO.Fonte," ",ORÇAMENTO.CodBarra)))</f>
        <v xml:space="preserve">SINAPI COTAÇÃO </v>
      </c>
      <c r="AF56" s="58" t="e">
        <f ca="1">IF(ISERROR(INDIRECT(ORÇAMENTO.BancoRef)),"(abra o arquivo 'Referência "&amp;Excel_BuiltIn_Database&amp;".xls)",IF(OR($C56&lt;&gt;"S",ORÇAMENTO.CodBarra=""),"(Sem Código)",IF(ISERROR(MATCH($AE56,INDIRECT(ORÇAMENTO.BancoRef),0)),"(Código não identificado nas referências)",MATCH($AE56,INDIRECT(ORÇAMENTO.BancoRef),0))))</f>
        <v>#VALUE!</v>
      </c>
      <c r="AG56" s="59" t="e">
        <f ca="1">ROUND(IF(DESONERACAO="sim",REFERENCIA.Desonerado,REFERENCIA.NaoDesonerado),2)</f>
        <v>#VALUE!</v>
      </c>
      <c r="AH56" s="60">
        <f t="shared" si="44"/>
        <v>0.2223</v>
      </c>
      <c r="AJ56" s="61">
        <v>1</v>
      </c>
      <c r="AL56" s="62"/>
      <c r="AM56" s="63" t="e">
        <f t="shared" ca="1" si="0"/>
        <v>#VALUE!</v>
      </c>
      <c r="AN56" s="64">
        <f t="shared" si="45"/>
        <v>140747.85</v>
      </c>
    </row>
    <row r="57" spans="1:40" x14ac:dyDescent="0.2">
      <c r="A57">
        <f t="shared" si="41"/>
        <v>3</v>
      </c>
      <c r="B57">
        <f t="shared" ca="1" si="46"/>
        <v>3</v>
      </c>
      <c r="C57">
        <f t="shared" ca="1" si="47"/>
        <v>3</v>
      </c>
      <c r="D57">
        <f t="shared" ca="1" si="48"/>
        <v>4</v>
      </c>
      <c r="E57" t="e">
        <f ca="1">IF($C57=1,OFFSET(E57,-1,0)+MAX(1,COUNTIF([1]QCI!$A$13:$A$24,OFFSET(ORÇAMENTO!E57,-1,0))),OFFSET(E57,-1,0))</f>
        <v>#VALUE!</v>
      </c>
      <c r="F57">
        <f t="shared" ca="1" si="49"/>
        <v>2</v>
      </c>
      <c r="G57">
        <f t="shared" ca="1" si="50"/>
        <v>3</v>
      </c>
      <c r="H57">
        <f t="shared" ca="1" si="51"/>
        <v>0</v>
      </c>
      <c r="I57">
        <f t="shared" ca="1" si="52"/>
        <v>0</v>
      </c>
      <c r="J57">
        <f t="shared" ca="1" si="9"/>
        <v>88</v>
      </c>
      <c r="K57">
        <f ca="1">IF(OR($C57="S",$C57=0),0,MATCH(OFFSET($D57,0,$C57)+IF($C57&lt;&gt;1,1,COUNTIF([1]QCI!$A$13:$A$24,ORÇAMENTO!E57)),OFFSET($D57,1,$C57,ROW($C$145)-ROW($C57)),0))</f>
        <v>4</v>
      </c>
      <c r="L57" s="42" t="e">
        <f t="shared" ca="1" si="53"/>
        <v>#VALUE!</v>
      </c>
      <c r="M57" s="43" t="s">
        <v>5</v>
      </c>
      <c r="N57" s="44" t="str">
        <f t="shared" ca="1" si="54"/>
        <v>Nível 3</v>
      </c>
      <c r="O57" s="45" t="e">
        <f t="shared" ca="1" si="55"/>
        <v>#VALUE!</v>
      </c>
      <c r="P57" s="46" t="s">
        <v>62</v>
      </c>
      <c r="Q57" s="47"/>
      <c r="R57" s="48" t="s">
        <v>140</v>
      </c>
      <c r="S57" s="49" t="s">
        <v>67</v>
      </c>
      <c r="T57" s="50" t="e">
        <f ca="1">OFFSET([1]CÁLCULO!H$15,ROW($T57)-ROW(T$15),0)</f>
        <v>#VALUE!</v>
      </c>
      <c r="U57" s="51"/>
      <c r="V57" s="52" t="s">
        <v>10</v>
      </c>
      <c r="W57" s="50">
        <f ca="1">IF($C57="S",ROUND(IF(TIPOORCAMENTO="Proposto",ORÇAMENTO.CustoUnitario*(1+$AH57),ORÇAMENTO.PrecoUnitarioLicitado),15-13*$AF$10),0)</f>
        <v>0</v>
      </c>
      <c r="X57" s="53" t="e">
        <f t="shared" ca="1" si="42"/>
        <v>#VALUE!</v>
      </c>
      <c r="Y57" s="54" t="s">
        <v>63</v>
      </c>
      <c r="Z57" t="e">
        <f t="shared" ca="1" si="56"/>
        <v>#VALUE!</v>
      </c>
      <c r="AA57" s="55" t="e">
        <f ca="1">IF($C57="S",IF($Z57="CP",$X57,IF($Z57="RA",(($X57)*[1]QCI!$AA$3),0)),SomaAgrup)</f>
        <v>#VALUE!</v>
      </c>
      <c r="AB57" s="56" t="e">
        <f t="shared" ca="1" si="43"/>
        <v>#VALUE!</v>
      </c>
      <c r="AC57" s="57" t="e">
        <f ca="1">IF($N57="","",IF(ORÇAMENTO.Descricao="","DESCRIÇÃO",IF(AND($C57="S",ORÇAMENTO.Unidade=""),"UNIDADE",IF($X57&lt;0,"VALOR NEGATIVO",IF(OR(AND(TIPOORCAMENTO="Proposto",$AG57&lt;&gt;"",$AG57&gt;0,ORÇAMENTO.CustoUnitario&gt;$AG57),AND(TIPOORCAMENTO="LICITADO",ORÇAMENTO.PrecoUnitarioLicitado&gt;$AN57)),"ACIMA REF.","")))))</f>
        <v>#VALUE!</v>
      </c>
      <c r="AD57" t="e">
        <f ca="1">IF(C57&lt;=CRONO.NivelExibicao,MAX($AD$15:OFFSET(AD57,-1,0))+IF($C57&lt;&gt;1,1,MAX(1,COUNTIF([1]QCI!$A$13:$A$24,OFFSET($E57,-1,0)))),"")</f>
        <v>#VALUE!</v>
      </c>
      <c r="AE57" s="4" t="b">
        <f ca="1">IF(AND($C57="S",ORÇAMENTO.CodBarra&lt;&gt;""),IF(ORÇAMENTO.Fonte="",ORÇAMENTO.CodBarra,CONCATENATE(ORÇAMENTO.Fonte," ",ORÇAMENTO.CodBarra)))</f>
        <v>0</v>
      </c>
      <c r="AF57" s="58" t="e">
        <f ca="1">IF(ISERROR(INDIRECT(ORÇAMENTO.BancoRef)),"(abra o arquivo 'Referência "&amp;Excel_BuiltIn_Database&amp;".xls)",IF(OR($C57&lt;&gt;"S",ORÇAMENTO.CodBarra=""),"(Sem Código)",IF(ISERROR(MATCH($AE57,INDIRECT(ORÇAMENTO.BancoRef),0)),"(Código não identificado nas referências)",MATCH($AE57,INDIRECT(ORÇAMENTO.BancoRef),0))))</f>
        <v>#VALUE!</v>
      </c>
      <c r="AG57" s="59" t="e">
        <f ca="1">ROUND(IF(DESONERACAO="sim",REFERENCIA.Desonerado,REFERENCIA.NaoDesonerado),2)</f>
        <v>#VALUE!</v>
      </c>
      <c r="AH57" s="60">
        <f t="shared" si="44"/>
        <v>0.2223</v>
      </c>
      <c r="AJ57" s="61"/>
      <c r="AL57" s="62"/>
      <c r="AM57" s="63" t="e">
        <f t="shared" ca="1" si="0"/>
        <v>#VALUE!</v>
      </c>
      <c r="AN57" s="64">
        <f t="shared" si="45"/>
        <v>0</v>
      </c>
    </row>
    <row r="58" spans="1:40" ht="38.25" x14ac:dyDescent="0.2">
      <c r="A58" t="str">
        <f t="shared" si="41"/>
        <v>S</v>
      </c>
      <c r="B58">
        <f t="shared" ca="1" si="46"/>
        <v>3</v>
      </c>
      <c r="C58" t="str">
        <f t="shared" ca="1" si="47"/>
        <v>S</v>
      </c>
      <c r="D58">
        <f t="shared" ca="1" si="48"/>
        <v>0</v>
      </c>
      <c r="E58" t="e">
        <f ca="1">IF($C58=1,OFFSET(E58,-1,0)+MAX(1,COUNTIF([1]QCI!$A$13:$A$24,OFFSET(ORÇAMENTO!E58,-1,0))),OFFSET(E58,-1,0))</f>
        <v>#VALUE!</v>
      </c>
      <c r="F58">
        <f t="shared" ca="1" si="49"/>
        <v>2</v>
      </c>
      <c r="G58">
        <f t="shared" ca="1" si="50"/>
        <v>3</v>
      </c>
      <c r="H58">
        <f t="shared" ca="1" si="51"/>
        <v>0</v>
      </c>
      <c r="I58" t="e">
        <f t="shared" ca="1" si="52"/>
        <v>#VALUE!</v>
      </c>
      <c r="J58">
        <f t="shared" ca="1" si="9"/>
        <v>0</v>
      </c>
      <c r="K58">
        <f ca="1">IF(OR($C58="S",$C58=0),0,MATCH(OFFSET($D58,0,$C58)+IF($C58&lt;&gt;1,1,COUNTIF([1]QCI!$A$13:$A$24,ORÇAMENTO!E58)),OFFSET($D58,1,$C58,ROW($C$145)-ROW($C58)),0))</f>
        <v>0</v>
      </c>
      <c r="L58" s="42" t="e">
        <f t="shared" ca="1" si="53"/>
        <v>#VALUE!</v>
      </c>
      <c r="M58" s="43" t="s">
        <v>7</v>
      </c>
      <c r="N58" s="44" t="str">
        <f t="shared" ca="1" si="54"/>
        <v>Serviço</v>
      </c>
      <c r="O58" s="45" t="e">
        <f t="shared" ca="1" si="55"/>
        <v>#VALUE!</v>
      </c>
      <c r="P58" s="46" t="s">
        <v>62</v>
      </c>
      <c r="Q58" s="47" t="s">
        <v>98</v>
      </c>
      <c r="R58" s="48" t="s">
        <v>99</v>
      </c>
      <c r="S58" s="49" t="s">
        <v>75</v>
      </c>
      <c r="T58" s="50" t="e">
        <f ca="1">OFFSET([1]CÁLCULO!H$15,ROW($T58)-ROW(T$15),0)</f>
        <v>#VALUE!</v>
      </c>
      <c r="U58" s="51" t="e">
        <f t="shared" ca="1" si="23"/>
        <v>#VALUE!</v>
      </c>
      <c r="V58" s="52" t="s">
        <v>10</v>
      </c>
      <c r="W58" s="50" t="e">
        <f ca="1">IF($C58="S",ROUND(IF(TIPOORCAMENTO="Proposto",ORÇAMENTO.CustoUnitario*(1+$AH58),ORÇAMENTO.PrecoUnitarioLicitado),15-13*$AF$10),0)</f>
        <v>#VALUE!</v>
      </c>
      <c r="X58" s="53" t="e">
        <f t="shared" ca="1" si="42"/>
        <v>#VALUE!</v>
      </c>
      <c r="Y58" s="54" t="s">
        <v>63</v>
      </c>
      <c r="Z58" t="e">
        <f t="shared" ca="1" si="56"/>
        <v>#VALUE!</v>
      </c>
      <c r="AA58" s="55" t="e">
        <f ca="1">IF($C58="S",IF($Z58="CP",$X58,IF($Z58="RA",(($X58)*[1]QCI!$AA$3),0)),SomaAgrup)</f>
        <v>#VALUE!</v>
      </c>
      <c r="AB58" s="56" t="e">
        <f t="shared" ca="1" si="43"/>
        <v>#VALUE!</v>
      </c>
      <c r="AC58" s="57" t="e">
        <f ca="1">IF($N58="","",IF(ORÇAMENTO.Descricao="","DESCRIÇÃO",IF(AND($C58="S",ORÇAMENTO.Unidade=""),"UNIDADE",IF($X58&lt;0,"VALOR NEGATIVO",IF(OR(AND(TIPOORCAMENTO="Proposto",$AG58&lt;&gt;"",$AG58&gt;0,ORÇAMENTO.CustoUnitario&gt;$AG58),AND(TIPOORCAMENTO="LICITADO",ORÇAMENTO.PrecoUnitarioLicitado&gt;$AN58)),"ACIMA REF.","")))))</f>
        <v>#VALUE!</v>
      </c>
      <c r="AD58" t="str">
        <f ca="1">IF(C58&lt;=CRONO.NivelExibicao,MAX($AD$15:OFFSET(AD58,-1,0))+IF($C58&lt;&gt;1,1,MAX(1,COUNTIF([1]QCI!$A$13:$A$24,OFFSET($E58,-1,0)))),"")</f>
        <v/>
      </c>
      <c r="AE58" s="4" t="str">
        <f ca="1">IF(AND($C58="S",ORÇAMENTO.CodBarra&lt;&gt;""),IF(ORÇAMENTO.Fonte="",ORÇAMENTO.CodBarra,CONCATENATE(ORÇAMENTO.Fonte," ",ORÇAMENTO.CodBarra)))</f>
        <v>SINAPI 103319</v>
      </c>
      <c r="AF58" s="58" t="e">
        <f ca="1">IF(ISERROR(INDIRECT(ORÇAMENTO.BancoRef)),"(abra o arquivo 'Referência "&amp;Excel_BuiltIn_Database&amp;".xls)",IF(OR($C58&lt;&gt;"S",ORÇAMENTO.CodBarra=""),"(Sem Código)",IF(ISERROR(MATCH($AE58,INDIRECT(ORÇAMENTO.BancoRef),0)),"(Código não identificado nas referências)",MATCH($AE58,INDIRECT(ORÇAMENTO.BancoRef),0))))</f>
        <v>#VALUE!</v>
      </c>
      <c r="AG58" s="59" t="e">
        <f ca="1">ROUND(IF(DESONERACAO="sim",REFERENCIA.Desonerado,REFERENCIA.NaoDesonerado),2)</f>
        <v>#VALUE!</v>
      </c>
      <c r="AH58" s="60">
        <f t="shared" si="44"/>
        <v>0.2223</v>
      </c>
      <c r="AJ58" s="61">
        <v>466.09</v>
      </c>
      <c r="AL58" s="62"/>
      <c r="AM58" s="63" t="e">
        <f t="shared" ca="1" si="0"/>
        <v>#VALUE!</v>
      </c>
      <c r="AN58" s="64" t="e">
        <f t="shared" ca="1" si="45"/>
        <v>#VALUE!</v>
      </c>
    </row>
    <row r="59" spans="1:40" ht="38.25" x14ac:dyDescent="0.2">
      <c r="A59" t="str">
        <f t="shared" si="41"/>
        <v>S</v>
      </c>
      <c r="B59">
        <f t="shared" ca="1" si="46"/>
        <v>3</v>
      </c>
      <c r="C59" t="str">
        <f t="shared" ca="1" si="47"/>
        <v>S</v>
      </c>
      <c r="D59">
        <f t="shared" ca="1" si="48"/>
        <v>0</v>
      </c>
      <c r="E59" t="e">
        <f ca="1">IF($C59=1,OFFSET(E59,-1,0)+MAX(1,COUNTIF([1]QCI!$A$13:$A$24,OFFSET(ORÇAMENTO!E59,-1,0))),OFFSET(E59,-1,0))</f>
        <v>#VALUE!</v>
      </c>
      <c r="F59">
        <f t="shared" ca="1" si="49"/>
        <v>2</v>
      </c>
      <c r="G59">
        <f t="shared" ca="1" si="50"/>
        <v>3</v>
      </c>
      <c r="H59">
        <f t="shared" ca="1" si="51"/>
        <v>0</v>
      </c>
      <c r="I59" t="e">
        <f t="shared" ca="1" si="52"/>
        <v>#VALUE!</v>
      </c>
      <c r="J59">
        <f t="shared" ca="1" si="9"/>
        <v>0</v>
      </c>
      <c r="K59">
        <f ca="1">IF(OR($C59="S",$C59=0),0,MATCH(OFFSET($D59,0,$C59)+IF($C59&lt;&gt;1,1,COUNTIF([1]QCI!$A$13:$A$24,ORÇAMENTO!E59)),OFFSET($D59,1,$C59,ROW($C$145)-ROW($C59)),0))</f>
        <v>0</v>
      </c>
      <c r="L59" s="42" t="e">
        <f t="shared" ca="1" si="53"/>
        <v>#VALUE!</v>
      </c>
      <c r="M59" s="43" t="s">
        <v>7</v>
      </c>
      <c r="N59" s="44" t="str">
        <f t="shared" ca="1" si="54"/>
        <v>Serviço</v>
      </c>
      <c r="O59" s="45" t="e">
        <f t="shared" ca="1" si="55"/>
        <v>#VALUE!</v>
      </c>
      <c r="P59" s="46" t="s">
        <v>62</v>
      </c>
      <c r="Q59" s="47">
        <v>102253</v>
      </c>
      <c r="R59" s="48" t="s">
        <v>141</v>
      </c>
      <c r="S59" s="49" t="s">
        <v>75</v>
      </c>
      <c r="T59" s="50" t="e">
        <f ca="1">OFFSET([1]CÁLCULO!H$15,ROW($T59)-ROW(T$15),0)</f>
        <v>#VALUE!</v>
      </c>
      <c r="U59" s="51" t="e">
        <f t="shared" ca="1" si="23"/>
        <v>#VALUE!</v>
      </c>
      <c r="V59" s="52" t="s">
        <v>10</v>
      </c>
      <c r="W59" s="50" t="e">
        <f ca="1">IF($C59="S",ROUND(IF(TIPOORCAMENTO="Proposto",ORÇAMENTO.CustoUnitario*(1+$AH59),ORÇAMENTO.PrecoUnitarioLicitado),15-13*$AF$10),0)</f>
        <v>#VALUE!</v>
      </c>
      <c r="X59" s="53" t="e">
        <f t="shared" ca="1" si="42"/>
        <v>#VALUE!</v>
      </c>
      <c r="Y59" s="54" t="s">
        <v>63</v>
      </c>
      <c r="Z59" t="e">
        <f t="shared" ca="1" si="56"/>
        <v>#VALUE!</v>
      </c>
      <c r="AA59" s="55" t="e">
        <f ca="1">IF($C59="S",IF($Z59="CP",$X59,IF($Z59="RA",(($X59)*[1]QCI!$AA$3),0)),SomaAgrup)</f>
        <v>#VALUE!</v>
      </c>
      <c r="AB59" s="56" t="e">
        <f t="shared" ca="1" si="43"/>
        <v>#VALUE!</v>
      </c>
      <c r="AC59" s="57" t="e">
        <f ca="1">IF($N59="","",IF(ORÇAMENTO.Descricao="","DESCRIÇÃO",IF(AND($C59="S",ORÇAMENTO.Unidade=""),"UNIDADE",IF($X59&lt;0,"VALOR NEGATIVO",IF(OR(AND(TIPOORCAMENTO="Proposto",$AG59&lt;&gt;"",$AG59&gt;0,ORÇAMENTO.CustoUnitario&gt;$AG59),AND(TIPOORCAMENTO="LICITADO",ORÇAMENTO.PrecoUnitarioLicitado&gt;$AN59)),"ACIMA REF.","")))))</f>
        <v>#VALUE!</v>
      </c>
      <c r="AD59" t="str">
        <f ca="1">IF(C59&lt;=CRONO.NivelExibicao,MAX($AD$15:OFFSET(AD59,-1,0))+IF($C59&lt;&gt;1,1,MAX(1,COUNTIF([1]QCI!$A$13:$A$24,OFFSET($E59,-1,0)))),"")</f>
        <v/>
      </c>
      <c r="AE59" s="4" t="str">
        <f ca="1">IF(AND($C59="S",ORÇAMENTO.CodBarra&lt;&gt;""),IF(ORÇAMENTO.Fonte="",ORÇAMENTO.CodBarra,CONCATENATE(ORÇAMENTO.Fonte," ",ORÇAMENTO.CodBarra)))</f>
        <v>SINAPI 102253</v>
      </c>
      <c r="AF59" s="58" t="e">
        <f ca="1">IF(ISERROR(INDIRECT(ORÇAMENTO.BancoRef)),"(abra o arquivo 'Referência "&amp;Excel_BuiltIn_Database&amp;".xls)",IF(OR($C59&lt;&gt;"S",ORÇAMENTO.CodBarra=""),"(Sem Código)",IF(ISERROR(MATCH($AE59,INDIRECT(ORÇAMENTO.BancoRef),0)),"(Código não identificado nas referências)",MATCH($AE59,INDIRECT(ORÇAMENTO.BancoRef),0))))</f>
        <v>#VALUE!</v>
      </c>
      <c r="AG59" s="59" t="e">
        <f ca="1">ROUND(IF(DESONERACAO="sim",REFERENCIA.Desonerado,REFERENCIA.NaoDesonerado),2)</f>
        <v>#VALUE!</v>
      </c>
      <c r="AH59" s="60">
        <f t="shared" si="44"/>
        <v>0.2223</v>
      </c>
      <c r="AJ59" s="61">
        <v>27.65</v>
      </c>
      <c r="AL59" s="62"/>
      <c r="AM59" s="63" t="e">
        <f t="shared" ca="1" si="0"/>
        <v>#VALUE!</v>
      </c>
      <c r="AN59" s="64" t="e">
        <f t="shared" ca="1" si="45"/>
        <v>#VALUE!</v>
      </c>
    </row>
    <row r="60" spans="1:40" ht="25.5" x14ac:dyDescent="0.2">
      <c r="A60" t="str">
        <f>CHOOSE(1+LOG(1+2*(ORÇAMENTO.Nivel="Meta")+4*(ORÇAMENTO.Nivel="Nível 2")+8*(ORÇAMENTO.Nivel="Nível 3")+16*(ORÇAMENTO.Nivel="Nível 4")+32*(ORÇAMENTO.Nivel="Serviço"),2),0,1,2,3,4,"S")</f>
        <v>S</v>
      </c>
      <c r="B60">
        <f ca="1">IF(OR(C60="s",C60=0),OFFSET(B60,-1,0),C60)</f>
        <v>3</v>
      </c>
      <c r="C60" t="str">
        <f ca="1">IF(OFFSET(C60,-1,0)="L",1,IF(OFFSET(C60,-1,0)=1,2,IF(OR(A60="s",A60=0),"S",IF(AND(OFFSET(C60,-1,0)=2,A60=4),3,IF(AND(OR(OFFSET(C60,-1,0)="s",OFFSET(C60,-1,0)=0),A60&lt;&gt;"s",A60&gt;OFFSET(B60,-1,0)),OFFSET(B60,-1,0),A60)))))</f>
        <v>S</v>
      </c>
      <c r="D60">
        <f ca="1">IF(OR(C60="S",C60=0),0,IF(ISERROR(K60),J60,SMALL(J60:K60,1)))</f>
        <v>0</v>
      </c>
      <c r="E60" t="e">
        <f ca="1">IF($C60=1,OFFSET(E60,-1,0)+MAX(1,COUNTIF([1]QCI!$A$13:$A$24,OFFSET(ORÇAMENTO!E60,-1,0))),OFFSET(E60,-1,0))</f>
        <v>#VALUE!</v>
      </c>
      <c r="F60">
        <f ca="1">IF($C60=1,0,IF($C60=2,OFFSET(F60,-1,0)+1,OFFSET(F60,-1,0)))</f>
        <v>2</v>
      </c>
      <c r="G60">
        <f ca="1">IF(AND($C60&lt;=2,$C60&lt;&gt;0),0,IF($C60=3,OFFSET(G60,-1,0)+1,OFFSET(G60,-1,0)))</f>
        <v>3</v>
      </c>
      <c r="H60">
        <f ca="1">IF(AND($C60&lt;=3,$C60&lt;&gt;0),0,IF($C60=4,OFFSET(H60,-1,0)+1,OFFSET(H60,-1,0)))</f>
        <v>0</v>
      </c>
      <c r="I60" t="e">
        <f ca="1">IF(AND($C60&lt;=4,$C60&lt;&gt;0),0,IF(AND($C60="S",$X60&gt;0),OFFSET(I60,-1,0)+1,OFFSET(I60,-1,0)))</f>
        <v>#VALUE!</v>
      </c>
      <c r="J60">
        <f t="shared" ca="1" si="9"/>
        <v>0</v>
      </c>
      <c r="K60">
        <f ca="1">IF(OR($C60="S",$C60=0),0,MATCH(OFFSET($D60,0,$C60)+IF($C60&lt;&gt;1,1,COUNTIF([1]QCI!$A$13:$A$24,ORÇAMENTO!E60)),OFFSET($D60,1,$C60,ROW($C$145)-ROW($C60)),0))</f>
        <v>0</v>
      </c>
      <c r="L60" s="42" t="e">
        <f ca="1">IF(OR($X60&gt;0,$C60=1,$C60=2,$C60=3,$C60=4),"F","")</f>
        <v>#VALUE!</v>
      </c>
      <c r="M60" s="43" t="s">
        <v>7</v>
      </c>
      <c r="N60" s="44" t="str">
        <f ca="1">CHOOSE(1+LOG(1+2*(C60=1)+4*(C60=2)+8*(C60=3)+16*(C60=4)+32*(C60="S"),2),"","Meta","Nível 2","Nível 3","Nível 4","Serviço")</f>
        <v>Serviço</v>
      </c>
      <c r="O60" s="45" t="e">
        <f ca="1">IF(OR($C60=0,$L60=""),"-",CONCATENATE(E60&amp;".",IF(AND($A$5&gt;=2,$C60&gt;=2),F60&amp;".",""),IF(AND($A$5&gt;=3,$C60&gt;=3),G60&amp;".",""),IF(AND($A$5&gt;=4,$C60&gt;=4),H60&amp;".",""),IF($C60="S",I60&amp;".","")))</f>
        <v>#VALUE!</v>
      </c>
      <c r="P60" s="46" t="s">
        <v>142</v>
      </c>
      <c r="Q60" s="47" t="s">
        <v>143</v>
      </c>
      <c r="R60" s="48" t="s">
        <v>144</v>
      </c>
      <c r="S60" s="49" t="s">
        <v>75</v>
      </c>
      <c r="T60" s="50" t="e">
        <f ca="1">OFFSET([1]CÁLCULO!H$15,ROW($T60)-ROW(T$15),0)</f>
        <v>#VALUE!</v>
      </c>
      <c r="U60" s="51">
        <v>195.81</v>
      </c>
      <c r="V60" s="52" t="s">
        <v>10</v>
      </c>
      <c r="W60" s="50">
        <f ca="1">IF($C60="S",ROUND(IF(TIPOORCAMENTO="Proposto",ORÇAMENTO.CustoUnitario*(1+$AH60),ORÇAMENTO.PrecoUnitarioLicitado),15-13*$AF$10),0)</f>
        <v>239.33856299999999</v>
      </c>
      <c r="X60" s="53" t="e">
        <f ca="1">IF($C60="S",VTOTAL1,IF($C60=0,0,ROUND(SomaAgrup,15-13*$AF$11)))</f>
        <v>#VALUE!</v>
      </c>
      <c r="Y60" s="54" t="s">
        <v>63</v>
      </c>
      <c r="Z60" t="e">
        <f ca="1">IF(AND($C60="S",$X60&gt;0),IF(ISBLANK($Y60),"RA",LEFT($Y60,2)),"")</f>
        <v>#VALUE!</v>
      </c>
      <c r="AA60" s="55" t="e">
        <f ca="1">IF($C60="S",IF($Z60="CP",$X60,IF($Z60="RA",(($X60)*[1]QCI!$AA$3),0)),SomaAgrup)</f>
        <v>#VALUE!</v>
      </c>
      <c r="AB60" s="56" t="e">
        <f ca="1">IF($C60="S",IF($Z60="OU",ROUND($X60,2),0),SomaAgrup)</f>
        <v>#VALUE!</v>
      </c>
      <c r="AC60" s="57" t="e">
        <f ca="1">IF($N60="","",IF(ORÇAMENTO.Descricao="","DESCRIÇÃO",IF(AND($C60="S",ORÇAMENTO.Unidade=""),"UNIDADE",IF($X60&lt;0,"VALOR NEGATIVO",IF(OR(AND(TIPOORCAMENTO="Proposto",$AG60&lt;&gt;"",$AG60&gt;0,ORÇAMENTO.CustoUnitario&gt;$AG60),AND(TIPOORCAMENTO="LICITADO",ORÇAMENTO.PrecoUnitarioLicitado&gt;$AN60)),"ACIMA REF.","")))))</f>
        <v>#VALUE!</v>
      </c>
      <c r="AD60" t="str">
        <f ca="1">IF(C60&lt;=CRONO.NivelExibicao,MAX($AD$15:OFFSET(AD60,-1,0))+IF($C60&lt;&gt;1,1,MAX(1,COUNTIF([1]QCI!$A$13:$A$24,OFFSET($E60,-1,0)))),"")</f>
        <v/>
      </c>
      <c r="AE60" s="4" t="str">
        <f ca="1">IF(AND($C60="S",ORÇAMENTO.CodBarra&lt;&gt;""),IF(ORÇAMENTO.Fonte="",ORÇAMENTO.CodBarra,CONCATENATE(ORÇAMENTO.Fonte," ",ORÇAMENTO.CodBarra)))</f>
        <v>SICRO AUX3040</v>
      </c>
      <c r="AF60" s="58" t="e">
        <f ca="1">IF(ISERROR(INDIRECT(ORÇAMENTO.BancoRef)),"(abra o arquivo 'Referência "&amp;Excel_BuiltIn_Database&amp;".xls)",IF(OR($C60&lt;&gt;"S",ORÇAMENTO.CodBarra=""),"(Sem Código)",IF(ISERROR(MATCH($AE60,INDIRECT(ORÇAMENTO.BancoRef),0)),"(Código não identificado nas referências)",MATCH($AE60,INDIRECT(ORÇAMENTO.BancoRef),0))))</f>
        <v>#VALUE!</v>
      </c>
      <c r="AG60" s="59" t="e">
        <f ca="1">ROUND(IF(DESONERACAO="sim",REFERENCIA.Desonerado,REFERENCIA.NaoDesonerado),2)</f>
        <v>#VALUE!</v>
      </c>
      <c r="AH60" s="60">
        <f>ROUND(IF(ISNUMBER(ORÇAMENTO.OpcaoBDI),ORÇAMENTO.OpcaoBDI,IF(LEFT(ORÇAMENTO.OpcaoBDI,3)="BDI",HLOOKUP(ORÇAMENTO.OpcaoBDI,$F$4:$H$5,2,FALSE),0)),15-11*$AF$9)</f>
        <v>0.2223</v>
      </c>
      <c r="AJ60" s="61">
        <v>18.989999999999998</v>
      </c>
      <c r="AL60" s="62"/>
      <c r="AM60" s="63" t="e">
        <f t="shared" ca="1" si="0"/>
        <v>#VALUE!</v>
      </c>
      <c r="AN60" s="64">
        <f>ROUND(ORÇAMENTO.CustoUnitario*(1+$AH60),2)</f>
        <v>239.34</v>
      </c>
    </row>
    <row r="61" spans="1:40" x14ac:dyDescent="0.2">
      <c r="A61">
        <f t="shared" si="41"/>
        <v>3</v>
      </c>
      <c r="B61">
        <f t="shared" ca="1" si="46"/>
        <v>3</v>
      </c>
      <c r="C61">
        <f t="shared" ca="1" si="47"/>
        <v>3</v>
      </c>
      <c r="D61">
        <f t="shared" ca="1" si="48"/>
        <v>5</v>
      </c>
      <c r="E61" t="e">
        <f ca="1">IF($C61=1,OFFSET(E61,-1,0)+MAX(1,COUNTIF([1]QCI!$A$13:$A$24,OFFSET(ORÇAMENTO!E61,-1,0))),OFFSET(E61,-1,0))</f>
        <v>#VALUE!</v>
      </c>
      <c r="F61">
        <f t="shared" ca="1" si="49"/>
        <v>2</v>
      </c>
      <c r="G61">
        <f t="shared" ca="1" si="50"/>
        <v>4</v>
      </c>
      <c r="H61">
        <f t="shared" ca="1" si="51"/>
        <v>0</v>
      </c>
      <c r="I61">
        <f t="shared" ca="1" si="52"/>
        <v>0</v>
      </c>
      <c r="J61">
        <f t="shared" ca="1" si="9"/>
        <v>84</v>
      </c>
      <c r="K61">
        <f ca="1">IF(OR($C61="S",$C61=0),0,MATCH(OFFSET($D61,0,$C61)+IF($C61&lt;&gt;1,1,COUNTIF([1]QCI!$A$13:$A$24,ORÇAMENTO!E61)),OFFSET($D61,1,$C61,ROW($C$145)-ROW($C61)),0))</f>
        <v>5</v>
      </c>
      <c r="L61" s="42" t="e">
        <f t="shared" ca="1" si="53"/>
        <v>#VALUE!</v>
      </c>
      <c r="M61" s="43" t="s">
        <v>5</v>
      </c>
      <c r="N61" s="44" t="str">
        <f t="shared" ca="1" si="54"/>
        <v>Nível 3</v>
      </c>
      <c r="O61" s="45" t="e">
        <f t="shared" ca="1" si="55"/>
        <v>#VALUE!</v>
      </c>
      <c r="P61" s="46" t="s">
        <v>62</v>
      </c>
      <c r="Q61" s="47"/>
      <c r="R61" s="48" t="s">
        <v>110</v>
      </c>
      <c r="S61" s="49" t="s">
        <v>67</v>
      </c>
      <c r="T61" s="50" t="e">
        <f ca="1">OFFSET([1]CÁLCULO!H$15,ROW($T61)-ROW(T$15),0)</f>
        <v>#VALUE!</v>
      </c>
      <c r="U61" s="51"/>
      <c r="V61" s="52" t="s">
        <v>10</v>
      </c>
      <c r="W61" s="50">
        <f ca="1">IF($C61="S",ROUND(IF(TIPOORCAMENTO="Proposto",ORÇAMENTO.CustoUnitario*(1+$AH61),ORÇAMENTO.PrecoUnitarioLicitado),15-13*$AF$10),0)</f>
        <v>0</v>
      </c>
      <c r="X61" s="53" t="e">
        <f t="shared" ca="1" si="42"/>
        <v>#VALUE!</v>
      </c>
      <c r="Y61" s="54" t="s">
        <v>63</v>
      </c>
      <c r="Z61" t="e">
        <f t="shared" ca="1" si="56"/>
        <v>#VALUE!</v>
      </c>
      <c r="AA61" s="55" t="e">
        <f ca="1">IF($C61="S",IF($Z61="CP",$X61,IF($Z61="RA",(($X61)*[1]QCI!$AA$3),0)),SomaAgrup)</f>
        <v>#VALUE!</v>
      </c>
      <c r="AB61" s="56" t="e">
        <f t="shared" ca="1" si="43"/>
        <v>#VALUE!</v>
      </c>
      <c r="AC61" s="57" t="e">
        <f ca="1">IF($N61="","",IF(ORÇAMENTO.Descricao="","DESCRIÇÃO",IF(AND($C61="S",ORÇAMENTO.Unidade=""),"UNIDADE",IF($X61&lt;0,"VALOR NEGATIVO",IF(OR(AND(TIPOORCAMENTO="Proposto",$AG61&lt;&gt;"",$AG61&gt;0,ORÇAMENTO.CustoUnitario&gt;$AG61),AND(TIPOORCAMENTO="LICITADO",ORÇAMENTO.PrecoUnitarioLicitado&gt;$AN61)),"ACIMA REF.","")))))</f>
        <v>#VALUE!</v>
      </c>
      <c r="AD61" t="e">
        <f ca="1">IF(C61&lt;=CRONO.NivelExibicao,MAX($AD$15:OFFSET(AD61,-1,0))+IF($C61&lt;&gt;1,1,MAX(1,COUNTIF([1]QCI!$A$13:$A$24,OFFSET($E61,-1,0)))),"")</f>
        <v>#VALUE!</v>
      </c>
      <c r="AE61" s="4" t="b">
        <f ca="1">IF(AND($C61="S",ORÇAMENTO.CodBarra&lt;&gt;""),IF(ORÇAMENTO.Fonte="",ORÇAMENTO.CodBarra,CONCATENATE(ORÇAMENTO.Fonte," ",ORÇAMENTO.CodBarra)))</f>
        <v>0</v>
      </c>
      <c r="AF61" s="58" t="e">
        <f ca="1">IF(ISERROR(INDIRECT(ORÇAMENTO.BancoRef)),"(abra o arquivo 'Referência "&amp;Excel_BuiltIn_Database&amp;".xls)",IF(OR($C61&lt;&gt;"S",ORÇAMENTO.CodBarra=""),"(Sem Código)",IF(ISERROR(MATCH($AE61,INDIRECT(ORÇAMENTO.BancoRef),0)),"(Código não identificado nas referências)",MATCH($AE61,INDIRECT(ORÇAMENTO.BancoRef),0))))</f>
        <v>#VALUE!</v>
      </c>
      <c r="AG61" s="59" t="e">
        <f ca="1">ROUND(IF(DESONERACAO="sim",REFERENCIA.Desonerado,REFERENCIA.NaoDesonerado),2)</f>
        <v>#VALUE!</v>
      </c>
      <c r="AH61" s="60">
        <f t="shared" si="44"/>
        <v>0.2223</v>
      </c>
      <c r="AJ61" s="61"/>
      <c r="AL61" s="62"/>
      <c r="AM61" s="63" t="e">
        <f t="shared" ca="1" si="0"/>
        <v>#VALUE!</v>
      </c>
      <c r="AN61" s="64">
        <f t="shared" si="45"/>
        <v>0</v>
      </c>
    </row>
    <row r="62" spans="1:40" ht="38.25" x14ac:dyDescent="0.2">
      <c r="A62" t="str">
        <f t="shared" si="41"/>
        <v>S</v>
      </c>
      <c r="B62">
        <f t="shared" ca="1" si="46"/>
        <v>3</v>
      </c>
      <c r="C62" t="str">
        <f t="shared" ca="1" si="47"/>
        <v>S</v>
      </c>
      <c r="D62">
        <f t="shared" ca="1" si="48"/>
        <v>0</v>
      </c>
      <c r="E62" t="e">
        <f ca="1">IF($C62=1,OFFSET(E62,-1,0)+MAX(1,COUNTIF([1]QCI!$A$13:$A$24,OFFSET(ORÇAMENTO!E62,-1,0))),OFFSET(E62,-1,0))</f>
        <v>#VALUE!</v>
      </c>
      <c r="F62">
        <f t="shared" ca="1" si="49"/>
        <v>2</v>
      </c>
      <c r="G62">
        <f t="shared" ca="1" si="50"/>
        <v>4</v>
      </c>
      <c r="H62">
        <f t="shared" ca="1" si="51"/>
        <v>0</v>
      </c>
      <c r="I62" t="e">
        <f t="shared" ca="1" si="52"/>
        <v>#VALUE!</v>
      </c>
      <c r="J62">
        <f t="shared" ca="1" si="9"/>
        <v>0</v>
      </c>
      <c r="K62">
        <f ca="1">IF(OR($C62="S",$C62=0),0,MATCH(OFFSET($D62,0,$C62)+IF($C62&lt;&gt;1,1,COUNTIF([1]QCI!$A$13:$A$24,ORÇAMENTO!E62)),OFFSET($D62,1,$C62,ROW($C$145)-ROW($C62)),0))</f>
        <v>0</v>
      </c>
      <c r="L62" s="42" t="e">
        <f t="shared" ca="1" si="53"/>
        <v>#VALUE!</v>
      </c>
      <c r="M62" s="43" t="s">
        <v>7</v>
      </c>
      <c r="N62" s="44" t="str">
        <f t="shared" ca="1" si="54"/>
        <v>Serviço</v>
      </c>
      <c r="O62" s="45" t="e">
        <f t="shared" ca="1" si="55"/>
        <v>#VALUE!</v>
      </c>
      <c r="P62" s="46" t="s">
        <v>62</v>
      </c>
      <c r="Q62" s="47">
        <v>91341</v>
      </c>
      <c r="R62" s="48" t="s">
        <v>111</v>
      </c>
      <c r="S62" s="49" t="s">
        <v>75</v>
      </c>
      <c r="T62" s="50" t="e">
        <f ca="1">OFFSET([1]CÁLCULO!H$15,ROW($T62)-ROW(T$15),0)</f>
        <v>#VALUE!</v>
      </c>
      <c r="U62" s="51" t="e">
        <f ca="1">AG62</f>
        <v>#VALUE!</v>
      </c>
      <c r="V62" s="52" t="s">
        <v>10</v>
      </c>
      <c r="W62" s="50" t="e">
        <f ca="1">IF($C62="S",ROUND(IF(TIPOORCAMENTO="Proposto",ORÇAMENTO.CustoUnitario*(1+$AH62),ORÇAMENTO.PrecoUnitarioLicitado),15-13*$AF$10),0)</f>
        <v>#VALUE!</v>
      </c>
      <c r="X62" s="53" t="e">
        <f t="shared" ca="1" si="42"/>
        <v>#VALUE!</v>
      </c>
      <c r="Y62" s="54" t="s">
        <v>63</v>
      </c>
      <c r="Z62" t="e">
        <f t="shared" ca="1" si="56"/>
        <v>#VALUE!</v>
      </c>
      <c r="AA62" s="55" t="e">
        <f ca="1">IF($C62="S",IF($Z62="CP",$X62,IF($Z62="RA",(($X62)*[1]QCI!$AA$3),0)),SomaAgrup)</f>
        <v>#VALUE!</v>
      </c>
      <c r="AB62" s="56" t="e">
        <f t="shared" ca="1" si="43"/>
        <v>#VALUE!</v>
      </c>
      <c r="AC62" s="57" t="e">
        <f ca="1">IF($N62="","",IF(ORÇAMENTO.Descricao="","DESCRIÇÃO",IF(AND($C62="S",ORÇAMENTO.Unidade=""),"UNIDADE",IF($X62&lt;0,"VALOR NEGATIVO",IF(OR(AND(TIPOORCAMENTO="Proposto",$AG62&lt;&gt;"",$AG62&gt;0,ORÇAMENTO.CustoUnitario&gt;$AG62),AND(TIPOORCAMENTO="LICITADO",ORÇAMENTO.PrecoUnitarioLicitado&gt;$AN62)),"ACIMA REF.","")))))</f>
        <v>#VALUE!</v>
      </c>
      <c r="AD62" t="str">
        <f ca="1">IF(C62&lt;=CRONO.NivelExibicao,MAX($AD$15:OFFSET(AD62,-1,0))+IF($C62&lt;&gt;1,1,MAX(1,COUNTIF([1]QCI!$A$13:$A$24,OFFSET($E62,-1,0)))),"")</f>
        <v/>
      </c>
      <c r="AE62" s="4" t="str">
        <f ca="1">IF(AND($C62="S",ORÇAMENTO.CodBarra&lt;&gt;""),IF(ORÇAMENTO.Fonte="",ORÇAMENTO.CodBarra,CONCATENATE(ORÇAMENTO.Fonte," ",ORÇAMENTO.CodBarra)))</f>
        <v>SINAPI 91341</v>
      </c>
      <c r="AF62" s="58" t="e">
        <f ca="1">IF(ISERROR(INDIRECT(ORÇAMENTO.BancoRef)),"(abra o arquivo 'Referência "&amp;Excel_BuiltIn_Database&amp;".xls)",IF(OR($C62&lt;&gt;"S",ORÇAMENTO.CodBarra=""),"(Sem Código)",IF(ISERROR(MATCH($AE62,INDIRECT(ORÇAMENTO.BancoRef),0)),"(Código não identificado nas referências)",MATCH($AE62,INDIRECT(ORÇAMENTO.BancoRef),0))))</f>
        <v>#VALUE!</v>
      </c>
      <c r="AG62" s="59" t="e">
        <f ca="1">ROUND(IF(DESONERACAO="sim",REFERENCIA.Desonerado,REFERENCIA.NaoDesonerado),2)</f>
        <v>#VALUE!</v>
      </c>
      <c r="AH62" s="60">
        <f t="shared" si="44"/>
        <v>0.2223</v>
      </c>
      <c r="AJ62" s="61">
        <v>45.35</v>
      </c>
      <c r="AL62" s="62"/>
      <c r="AM62" s="63" t="e">
        <f t="shared" ca="1" si="0"/>
        <v>#VALUE!</v>
      </c>
      <c r="AN62" s="64" t="e">
        <f t="shared" ca="1" si="45"/>
        <v>#VALUE!</v>
      </c>
    </row>
    <row r="63" spans="1:40" ht="38.25" x14ac:dyDescent="0.2">
      <c r="A63" t="str">
        <f t="shared" si="41"/>
        <v>S</v>
      </c>
      <c r="B63">
        <f t="shared" ca="1" si="46"/>
        <v>3</v>
      </c>
      <c r="C63" t="str">
        <f t="shared" ca="1" si="47"/>
        <v>S</v>
      </c>
      <c r="D63">
        <f t="shared" ca="1" si="48"/>
        <v>0</v>
      </c>
      <c r="E63" t="e">
        <f ca="1">IF($C63=1,OFFSET(E63,-1,0)+MAX(1,COUNTIF([1]QCI!$A$13:$A$24,OFFSET(ORÇAMENTO!E63,-1,0))),OFFSET(E63,-1,0))</f>
        <v>#VALUE!</v>
      </c>
      <c r="F63">
        <f t="shared" ca="1" si="49"/>
        <v>2</v>
      </c>
      <c r="G63">
        <f t="shared" ca="1" si="50"/>
        <v>4</v>
      </c>
      <c r="H63">
        <f t="shared" ca="1" si="51"/>
        <v>0</v>
      </c>
      <c r="I63" t="e">
        <f t="shared" ca="1" si="52"/>
        <v>#VALUE!</v>
      </c>
      <c r="J63">
        <f t="shared" ca="1" si="9"/>
        <v>0</v>
      </c>
      <c r="K63">
        <f ca="1">IF(OR($C63="S",$C63=0),0,MATCH(OFFSET($D63,0,$C63)+IF($C63&lt;&gt;1,1,COUNTIF([1]QCI!$A$13:$A$24,ORÇAMENTO!E63)),OFFSET($D63,1,$C63,ROW($C$145)-ROW($C63)),0))</f>
        <v>0</v>
      </c>
      <c r="L63" s="42" t="e">
        <f t="shared" ca="1" si="53"/>
        <v>#VALUE!</v>
      </c>
      <c r="M63" s="43" t="s">
        <v>7</v>
      </c>
      <c r="N63" s="44" t="str">
        <f t="shared" ca="1" si="54"/>
        <v>Serviço</v>
      </c>
      <c r="O63" s="45" t="e">
        <f t="shared" ca="1" si="55"/>
        <v>#VALUE!</v>
      </c>
      <c r="P63" s="46" t="s">
        <v>62</v>
      </c>
      <c r="Q63" s="47" t="s">
        <v>145</v>
      </c>
      <c r="R63" s="48" t="s">
        <v>146</v>
      </c>
      <c r="S63" s="49" t="s">
        <v>75</v>
      </c>
      <c r="T63" s="50" t="e">
        <f ca="1">OFFSET([1]CÁLCULO!H$15,ROW($T63)-ROW(T$15),0)</f>
        <v>#VALUE!</v>
      </c>
      <c r="U63" s="51">
        <v>489.68</v>
      </c>
      <c r="V63" s="52" t="s">
        <v>10</v>
      </c>
      <c r="W63" s="50">
        <f ca="1">IF($C63="S",ROUND(IF(TIPOORCAMENTO="Proposto",ORÇAMENTO.CustoUnitario*(1+$AH63),ORÇAMENTO.PrecoUnitarioLicitado),15-13*$AF$10),0)</f>
        <v>598.53586399999995</v>
      </c>
      <c r="X63" s="53" t="e">
        <f t="shared" ca="1" si="42"/>
        <v>#VALUE!</v>
      </c>
      <c r="Y63" s="54" t="s">
        <v>63</v>
      </c>
      <c r="Z63" t="e">
        <f t="shared" ca="1" si="56"/>
        <v>#VALUE!</v>
      </c>
      <c r="AA63" s="55" t="e">
        <f ca="1">IF($C63="S",IF($Z63="CP",$X63,IF($Z63="RA",(($X63)*[1]QCI!$AA$3),0)),SomaAgrup)</f>
        <v>#VALUE!</v>
      </c>
      <c r="AB63" s="56" t="e">
        <f t="shared" ca="1" si="43"/>
        <v>#VALUE!</v>
      </c>
      <c r="AC63" s="57" t="e">
        <f ca="1">IF($N63="","",IF(ORÇAMENTO.Descricao="","DESCRIÇÃO",IF(AND($C63="S",ORÇAMENTO.Unidade=""),"UNIDADE",IF($X63&lt;0,"VALOR NEGATIVO",IF(OR(AND(TIPOORCAMENTO="Proposto",$AG63&lt;&gt;"",$AG63&gt;0,ORÇAMENTO.CustoUnitario&gt;$AG63),AND(TIPOORCAMENTO="LICITADO",ORÇAMENTO.PrecoUnitarioLicitado&gt;$AN63)),"ACIMA REF.","")))))</f>
        <v>#VALUE!</v>
      </c>
      <c r="AD63" t="str">
        <f ca="1">IF(C63&lt;=CRONO.NivelExibicao,MAX($AD$15:OFFSET(AD63,-1,0))+IF($C63&lt;&gt;1,1,MAX(1,COUNTIF([1]QCI!$A$13:$A$24,OFFSET($E63,-1,0)))),"")</f>
        <v/>
      </c>
      <c r="AE63" s="4" t="str">
        <f ca="1">IF(AND($C63="S",ORÇAMENTO.CodBarra&lt;&gt;""),IF(ORÇAMENTO.Fonte="",ORÇAMENTO.CodBarra,CONCATENATE(ORÇAMENTO.Fonte," ",ORÇAMENTO.CodBarra)))</f>
        <v>SINAPI AUX2759</v>
      </c>
      <c r="AF63" s="58" t="e">
        <f ca="1">IF(ISERROR(INDIRECT(ORÇAMENTO.BancoRef)),"(abra o arquivo 'Referência "&amp;Excel_BuiltIn_Database&amp;".xls)",IF(OR($C63&lt;&gt;"S",ORÇAMENTO.CodBarra=""),"(Sem Código)",IF(ISERROR(MATCH($AE63,INDIRECT(ORÇAMENTO.BancoRef),0)),"(Código não identificado nas referências)",MATCH($AE63,INDIRECT(ORÇAMENTO.BancoRef),0))))</f>
        <v>#VALUE!</v>
      </c>
      <c r="AG63" s="59" t="e">
        <f ca="1">ROUND(IF(DESONERACAO="sim",REFERENCIA.Desonerado,REFERENCIA.NaoDesonerado),2)</f>
        <v>#VALUE!</v>
      </c>
      <c r="AH63" s="60">
        <f t="shared" si="44"/>
        <v>0.2223</v>
      </c>
      <c r="AJ63" s="61">
        <v>14.2</v>
      </c>
      <c r="AL63" s="62"/>
      <c r="AM63" s="63" t="e">
        <f t="shared" ca="1" si="0"/>
        <v>#VALUE!</v>
      </c>
      <c r="AN63" s="64">
        <f t="shared" si="45"/>
        <v>598.54</v>
      </c>
    </row>
    <row r="64" spans="1:40" ht="51" x14ac:dyDescent="0.2">
      <c r="A64" t="str">
        <f t="shared" si="41"/>
        <v>S</v>
      </c>
      <c r="B64">
        <f t="shared" ca="1" si="46"/>
        <v>3</v>
      </c>
      <c r="C64" t="str">
        <f t="shared" ca="1" si="47"/>
        <v>S</v>
      </c>
      <c r="D64">
        <f t="shared" ca="1" si="48"/>
        <v>0</v>
      </c>
      <c r="E64" t="e">
        <f ca="1">IF($C64=1,OFFSET(E64,-1,0)+MAX(1,COUNTIF([1]QCI!$A$13:$A$24,OFFSET(ORÇAMENTO!E64,-1,0))),OFFSET(E64,-1,0))</f>
        <v>#VALUE!</v>
      </c>
      <c r="F64">
        <f t="shared" ca="1" si="49"/>
        <v>2</v>
      </c>
      <c r="G64">
        <f t="shared" ca="1" si="50"/>
        <v>4</v>
      </c>
      <c r="H64">
        <f t="shared" ca="1" si="51"/>
        <v>0</v>
      </c>
      <c r="I64" t="e">
        <f t="shared" ca="1" si="52"/>
        <v>#VALUE!</v>
      </c>
      <c r="J64">
        <f t="shared" ca="1" si="9"/>
        <v>0</v>
      </c>
      <c r="K64">
        <f ca="1">IF(OR($C64="S",$C64=0),0,MATCH(OFFSET($D64,0,$C64)+IF($C64&lt;&gt;1,1,COUNTIF([1]QCI!$A$13:$A$24,ORÇAMENTO!E64)),OFFSET($D64,1,$C64,ROW($C$145)-ROW($C64)),0))</f>
        <v>0</v>
      </c>
      <c r="L64" s="42" t="e">
        <f t="shared" ca="1" si="53"/>
        <v>#VALUE!</v>
      </c>
      <c r="M64" s="43" t="s">
        <v>7</v>
      </c>
      <c r="N64" s="44" t="str">
        <f t="shared" ca="1" si="54"/>
        <v>Serviço</v>
      </c>
      <c r="O64" s="45" t="e">
        <f t="shared" ca="1" si="55"/>
        <v>#VALUE!</v>
      </c>
      <c r="P64" s="46" t="s">
        <v>62</v>
      </c>
      <c r="Q64" s="47">
        <v>94570</v>
      </c>
      <c r="R64" s="48" t="s">
        <v>147</v>
      </c>
      <c r="S64" s="49" t="s">
        <v>75</v>
      </c>
      <c r="T64" s="50" t="e">
        <f ca="1">OFFSET([1]CÁLCULO!H$15,ROW($T64)-ROW(T$15),0)</f>
        <v>#VALUE!</v>
      </c>
      <c r="U64" s="51" t="e">
        <f t="shared" ref="U64" ca="1" si="57">AG64</f>
        <v>#VALUE!</v>
      </c>
      <c r="V64" s="52" t="s">
        <v>10</v>
      </c>
      <c r="W64" s="50" t="e">
        <f ca="1">IF($C64="S",ROUND(IF(TIPOORCAMENTO="Proposto",ORÇAMENTO.CustoUnitario*(1+$AH64),ORÇAMENTO.PrecoUnitarioLicitado),15-13*$AF$10),0)</f>
        <v>#VALUE!</v>
      </c>
      <c r="X64" s="53" t="e">
        <f t="shared" ca="1" si="42"/>
        <v>#VALUE!</v>
      </c>
      <c r="Y64" s="54" t="s">
        <v>63</v>
      </c>
      <c r="Z64" t="e">
        <f t="shared" ca="1" si="56"/>
        <v>#VALUE!</v>
      </c>
      <c r="AA64" s="55" t="e">
        <f ca="1">IF($C64="S",IF($Z64="CP",$X64,IF($Z64="RA",(($X64)*[1]QCI!$AA$3),0)),SomaAgrup)</f>
        <v>#VALUE!</v>
      </c>
      <c r="AB64" s="56" t="e">
        <f t="shared" ca="1" si="43"/>
        <v>#VALUE!</v>
      </c>
      <c r="AC64" s="57" t="e">
        <f ca="1">IF($N64="","",IF(ORÇAMENTO.Descricao="","DESCRIÇÃO",IF(AND($C64="S",ORÇAMENTO.Unidade=""),"UNIDADE",IF($X64&lt;0,"VALOR NEGATIVO",IF(OR(AND(TIPOORCAMENTO="Proposto",$AG64&lt;&gt;"",$AG64&gt;0,ORÇAMENTO.CustoUnitario&gt;$AG64),AND(TIPOORCAMENTO="LICITADO",ORÇAMENTO.PrecoUnitarioLicitado&gt;$AN64)),"ACIMA REF.","")))))</f>
        <v>#VALUE!</v>
      </c>
      <c r="AD64" t="str">
        <f ca="1">IF(C64&lt;=CRONO.NivelExibicao,MAX($AD$15:OFFSET(AD64,-1,0))+IF($C64&lt;&gt;1,1,MAX(1,COUNTIF([1]QCI!$A$13:$A$24,OFFSET($E64,-1,0)))),"")</f>
        <v/>
      </c>
      <c r="AE64" s="4" t="str">
        <f ca="1">IF(AND($C64="S",ORÇAMENTO.CodBarra&lt;&gt;""),IF(ORÇAMENTO.Fonte="",ORÇAMENTO.CodBarra,CONCATENATE(ORÇAMENTO.Fonte," ",ORÇAMENTO.CodBarra)))</f>
        <v>SINAPI 94570</v>
      </c>
      <c r="AF64" s="58" t="e">
        <f ca="1">IF(ISERROR(INDIRECT(ORÇAMENTO.BancoRef)),"(abra o arquivo 'Referência "&amp;Excel_BuiltIn_Database&amp;".xls)",IF(OR($C64&lt;&gt;"S",ORÇAMENTO.CodBarra=""),"(Sem Código)",IF(ISERROR(MATCH($AE64,INDIRECT(ORÇAMENTO.BancoRef),0)),"(Código não identificado nas referências)",MATCH($AE64,INDIRECT(ORÇAMENTO.BancoRef),0))))</f>
        <v>#VALUE!</v>
      </c>
      <c r="AG64" s="59" t="e">
        <f ca="1">ROUND(IF(DESONERACAO="sim",REFERENCIA.Desonerado,REFERENCIA.NaoDesonerado),2)</f>
        <v>#VALUE!</v>
      </c>
      <c r="AH64" s="60">
        <f t="shared" si="44"/>
        <v>0.2223</v>
      </c>
      <c r="AJ64" s="61">
        <v>9.25</v>
      </c>
      <c r="AL64" s="62"/>
      <c r="AM64" s="63" t="e">
        <f t="shared" ca="1" si="0"/>
        <v>#VALUE!</v>
      </c>
      <c r="AN64" s="64" t="e">
        <f t="shared" ca="1" si="45"/>
        <v>#VALUE!</v>
      </c>
    </row>
    <row r="65" spans="1:40" ht="25.5" x14ac:dyDescent="0.2">
      <c r="A65" t="str">
        <f>CHOOSE(1+LOG(1+2*(ORÇAMENTO.Nivel="Meta")+4*(ORÇAMENTO.Nivel="Nível 2")+8*(ORÇAMENTO.Nivel="Nível 3")+16*(ORÇAMENTO.Nivel="Nível 4")+32*(ORÇAMENTO.Nivel="Serviço"),2),0,1,2,3,4,"S")</f>
        <v>S</v>
      </c>
      <c r="B65">
        <f ca="1">IF(OR(C65="s",C65=0),OFFSET(B65,-1,0),C65)</f>
        <v>3</v>
      </c>
      <c r="C65" t="str">
        <f ca="1">IF(OFFSET(C65,-1,0)="L",1,IF(OFFSET(C65,-1,0)=1,2,IF(OR(A65="s",A65=0),"S",IF(AND(OFFSET(C65,-1,0)=2,A65=4),3,IF(AND(OR(OFFSET(C65,-1,0)="s",OFFSET(C65,-1,0)=0),A65&lt;&gt;"s",A65&gt;OFFSET(B65,-1,0)),OFFSET(B65,-1,0),A65)))))</f>
        <v>S</v>
      </c>
      <c r="D65">
        <f ca="1">IF(OR(C65="S",C65=0),0,IF(ISERROR(K65),J65,SMALL(J65:K65,1)))</f>
        <v>0</v>
      </c>
      <c r="E65" t="e">
        <f ca="1">IF($C65=1,OFFSET(E65,-1,0)+MAX(1,COUNTIF([1]QCI!$A$13:$A$24,OFFSET(ORÇAMENTO!E65,-1,0))),OFFSET(E65,-1,0))</f>
        <v>#VALUE!</v>
      </c>
      <c r="F65">
        <f ca="1">IF($C65=1,0,IF($C65=2,OFFSET(F65,-1,0)+1,OFFSET(F65,-1,0)))</f>
        <v>2</v>
      </c>
      <c r="G65">
        <f ca="1">IF(AND($C65&lt;=2,$C65&lt;&gt;0),0,IF($C65=3,OFFSET(G65,-1,0)+1,OFFSET(G65,-1,0)))</f>
        <v>4</v>
      </c>
      <c r="H65">
        <f ca="1">IF(AND($C65&lt;=3,$C65&lt;&gt;0),0,IF($C65=4,OFFSET(H65,-1,0)+1,OFFSET(H65,-1,0)))</f>
        <v>0</v>
      </c>
      <c r="I65" t="e">
        <f ca="1">IF(AND($C65&lt;=4,$C65&lt;&gt;0),0,IF(AND($C65="S",$X65&gt;0),OFFSET(I65,-1,0)+1,OFFSET(I65,-1,0)))</f>
        <v>#VALUE!</v>
      </c>
      <c r="J65">
        <f t="shared" ca="1" si="9"/>
        <v>0</v>
      </c>
      <c r="K65">
        <f ca="1">IF(OR($C65="S",$C65=0),0,MATCH(OFFSET($D65,0,$C65)+IF($C65&lt;&gt;1,1,COUNTIF([1]QCI!$A$13:$A$24,ORÇAMENTO!E65)),OFFSET($D65,1,$C65,ROW($C$145)-ROW($C65)),0))</f>
        <v>0</v>
      </c>
      <c r="L65" s="42" t="e">
        <f ca="1">IF(OR($X65&gt;0,$C65=1,$C65=2,$C65=3,$C65=4),"F","")</f>
        <v>#VALUE!</v>
      </c>
      <c r="M65" s="43" t="s">
        <v>7</v>
      </c>
      <c r="N65" s="44" t="str">
        <f ca="1">CHOOSE(1+LOG(1+2*(C65=1)+4*(C65=2)+8*(C65=3)+16*(C65=4)+32*(C65="S"),2),"","Meta","Nível 2","Nível 3","Nível 4","Serviço")</f>
        <v>Serviço</v>
      </c>
      <c r="O65" s="45" t="e">
        <f ca="1">IF(OR($C65=0,$L65=""),"-",CONCATENATE(E65&amp;".",IF(AND($A$5&gt;=2,$C65&gt;=2),F65&amp;".",""),IF(AND($A$5&gt;=3,$C65&gt;=3),G65&amp;".",""),IF(AND($A$5&gt;=4,$C65&gt;=4),H65&amp;".",""),IF($C65="S",I65&amp;".","")))</f>
        <v>#VALUE!</v>
      </c>
      <c r="P65" s="46" t="s">
        <v>62</v>
      </c>
      <c r="Q65" s="47" t="s">
        <v>148</v>
      </c>
      <c r="R65" s="48" t="s">
        <v>149</v>
      </c>
      <c r="S65" s="49" t="s">
        <v>75</v>
      </c>
      <c r="T65" s="50" t="e">
        <f ca="1">OFFSET([1]CÁLCULO!H$15,ROW($T65)-ROW(T$15),0)</f>
        <v>#VALUE!</v>
      </c>
      <c r="U65" s="51" t="e">
        <f ca="1">AG65</f>
        <v>#VALUE!</v>
      </c>
      <c r="V65" s="52" t="s">
        <v>10</v>
      </c>
      <c r="W65" s="50" t="e">
        <f ca="1">IF($C65="S",ROUND(IF(TIPOORCAMENTO="Proposto",ORÇAMENTO.CustoUnitario*(1+$AH65),ORÇAMENTO.PrecoUnitarioLicitado),15-13*$AF$10),0)</f>
        <v>#VALUE!</v>
      </c>
      <c r="X65" s="53" t="e">
        <f ca="1">IF($C65="S",VTOTAL1,IF($C65=0,0,ROUND(SomaAgrup,15-13*$AF$11)))</f>
        <v>#VALUE!</v>
      </c>
      <c r="Y65" s="54" t="s">
        <v>63</v>
      </c>
      <c r="Z65" t="e">
        <f ca="1">IF(AND($C65="S",$X65&gt;0),IF(ISBLANK($Y65),"RA",LEFT($Y65,2)),"")</f>
        <v>#VALUE!</v>
      </c>
      <c r="AA65" s="55" t="e">
        <f ca="1">IF($C65="S",IF($Z65="CP",$X65,IF($Z65="RA",(($X65)*[1]QCI!$AA$3),0)),SomaAgrup)</f>
        <v>#VALUE!</v>
      </c>
      <c r="AB65" s="56" t="e">
        <f ca="1">IF($C65="S",IF($Z65="OU",ROUND($X65,2),0),SomaAgrup)</f>
        <v>#VALUE!</v>
      </c>
      <c r="AC65" s="57" t="e">
        <f ca="1">IF($N65="","",IF(ORÇAMENTO.Descricao="","DESCRIÇÃO",IF(AND($C65="S",ORÇAMENTO.Unidade=""),"UNIDADE",IF($X65&lt;0,"VALOR NEGATIVO",IF(OR(AND(TIPOORCAMENTO="Proposto",$AG65&lt;&gt;"",$AG65&gt;0,ORÇAMENTO.CustoUnitario&gt;$AG65),AND(TIPOORCAMENTO="LICITADO",ORÇAMENTO.PrecoUnitarioLicitado&gt;$AN65)),"ACIMA REF.","")))))</f>
        <v>#VALUE!</v>
      </c>
      <c r="AD65" t="str">
        <f ca="1">IF(C65&lt;=CRONO.NivelExibicao,MAX($AD$15:OFFSET(AD65,-1,0))+IF($C65&lt;&gt;1,1,MAX(1,COUNTIF([1]QCI!$A$13:$A$24,OFFSET($E65,-1,0)))),"")</f>
        <v/>
      </c>
      <c r="AE65" s="4" t="str">
        <f ca="1">IF(AND($C65="S",ORÇAMENTO.CodBarra&lt;&gt;""),IF(ORÇAMENTO.Fonte="",ORÇAMENTO.CodBarra,CONCATENATE(ORÇAMENTO.Fonte," ",ORÇAMENTO.CodBarra)))</f>
        <v>SINAPI 102176</v>
      </c>
      <c r="AF65" s="58" t="e">
        <f ca="1">IF(ISERROR(INDIRECT(ORÇAMENTO.BancoRef)),"(abra o arquivo 'Referência "&amp;Excel_BuiltIn_Database&amp;".xls)",IF(OR($C65&lt;&gt;"S",ORÇAMENTO.CodBarra=""),"(Sem Código)",IF(ISERROR(MATCH($AE65,INDIRECT(ORÇAMENTO.BancoRef),0)),"(Código não identificado nas referências)",MATCH($AE65,INDIRECT(ORÇAMENTO.BancoRef),0))))</f>
        <v>#VALUE!</v>
      </c>
      <c r="AG65" s="59" t="e">
        <f ca="1">ROUND(IF(DESONERACAO="sim",REFERENCIA.Desonerado,REFERENCIA.NaoDesonerado),2)</f>
        <v>#VALUE!</v>
      </c>
      <c r="AH65" s="60">
        <f>ROUND(IF(ISNUMBER(ORÇAMENTO.OpcaoBDI),ORÇAMENTO.OpcaoBDI,IF(LEFT(ORÇAMENTO.OpcaoBDI,3)="BDI",HLOOKUP(ORÇAMENTO.OpcaoBDI,$F$4:$H$5,2,FALSE),0)),15-11*$AF$9)</f>
        <v>0.2223</v>
      </c>
      <c r="AJ65" s="61">
        <v>13.37</v>
      </c>
      <c r="AL65" s="62"/>
      <c r="AM65" s="63" t="e">
        <f t="shared" ca="1" si="0"/>
        <v>#VALUE!</v>
      </c>
      <c r="AN65" s="64" t="e">
        <f ca="1">ROUND(ORÇAMENTO.CustoUnitario*(1+$AH65),2)</f>
        <v>#VALUE!</v>
      </c>
    </row>
    <row r="66" spans="1:40" x14ac:dyDescent="0.2">
      <c r="A66">
        <f t="shared" si="41"/>
        <v>3</v>
      </c>
      <c r="B66">
        <f t="shared" ca="1" si="46"/>
        <v>3</v>
      </c>
      <c r="C66">
        <f t="shared" ca="1" si="47"/>
        <v>3</v>
      </c>
      <c r="D66">
        <f t="shared" ca="1" si="48"/>
        <v>19</v>
      </c>
      <c r="E66" t="e">
        <f ca="1">IF($C66=1,OFFSET(E66,-1,0)+MAX(1,COUNTIF([1]QCI!$A$13:$A$24,OFFSET(ORÇAMENTO!E66,-1,0))),OFFSET(E66,-1,0))</f>
        <v>#VALUE!</v>
      </c>
      <c r="F66">
        <f t="shared" ca="1" si="49"/>
        <v>2</v>
      </c>
      <c r="G66">
        <f t="shared" ca="1" si="50"/>
        <v>5</v>
      </c>
      <c r="H66">
        <f t="shared" ca="1" si="51"/>
        <v>0</v>
      </c>
      <c r="I66">
        <f t="shared" ca="1" si="52"/>
        <v>0</v>
      </c>
      <c r="J66">
        <f t="shared" ca="1" si="9"/>
        <v>79</v>
      </c>
      <c r="K66">
        <f ca="1">IF(OR($C66="S",$C66=0),0,MATCH(OFFSET($D66,0,$C66)+IF($C66&lt;&gt;1,1,COUNTIF([1]QCI!$A$13:$A$24,ORÇAMENTO!E66)),OFFSET($D66,1,$C66,ROW($C$145)-ROW($C66)),0))</f>
        <v>19</v>
      </c>
      <c r="L66" s="42" t="e">
        <f t="shared" ca="1" si="53"/>
        <v>#VALUE!</v>
      </c>
      <c r="M66" s="43" t="s">
        <v>5</v>
      </c>
      <c r="N66" s="44" t="str">
        <f t="shared" ca="1" si="54"/>
        <v>Nível 3</v>
      </c>
      <c r="O66" s="45" t="e">
        <f t="shared" ca="1" si="55"/>
        <v>#VALUE!</v>
      </c>
      <c r="P66" s="46" t="s">
        <v>62</v>
      </c>
      <c r="Q66" s="47"/>
      <c r="R66" s="48" t="s">
        <v>150</v>
      </c>
      <c r="S66" s="49" t="s">
        <v>67</v>
      </c>
      <c r="T66" s="50" t="e">
        <f ca="1">OFFSET([1]CÁLCULO!H$15,ROW($T66)-ROW(T$15),0)</f>
        <v>#VALUE!</v>
      </c>
      <c r="U66" s="51"/>
      <c r="V66" s="52" t="s">
        <v>10</v>
      </c>
      <c r="W66" s="50">
        <f ca="1">IF($C66="S",ROUND(IF(TIPOORCAMENTO="Proposto",ORÇAMENTO.CustoUnitario*(1+$AH66),ORÇAMENTO.PrecoUnitarioLicitado),15-13*$AF$10),0)</f>
        <v>0</v>
      </c>
      <c r="X66" s="53" t="e">
        <f t="shared" ca="1" si="42"/>
        <v>#VALUE!</v>
      </c>
      <c r="Y66" s="54" t="s">
        <v>63</v>
      </c>
      <c r="Z66" t="e">
        <f t="shared" ca="1" si="56"/>
        <v>#VALUE!</v>
      </c>
      <c r="AA66" s="55" t="e">
        <f ca="1">IF($C66="S",IF($Z66="CP",$X66,IF($Z66="RA",(($X66)*[1]QCI!$AA$3),0)),SomaAgrup)</f>
        <v>#VALUE!</v>
      </c>
      <c r="AB66" s="56" t="e">
        <f t="shared" ca="1" si="43"/>
        <v>#VALUE!</v>
      </c>
      <c r="AC66" s="57" t="e">
        <f ca="1">IF($N66="","",IF(ORÇAMENTO.Descricao="","DESCRIÇÃO",IF(AND($C66="S",ORÇAMENTO.Unidade=""),"UNIDADE",IF($X66&lt;0,"VALOR NEGATIVO",IF(OR(AND(TIPOORCAMENTO="Proposto",$AG66&lt;&gt;"",$AG66&gt;0,ORÇAMENTO.CustoUnitario&gt;$AG66),AND(TIPOORCAMENTO="LICITADO",ORÇAMENTO.PrecoUnitarioLicitado&gt;$AN66)),"ACIMA REF.","")))))</f>
        <v>#VALUE!</v>
      </c>
      <c r="AD66" t="e">
        <f ca="1">IF(C66&lt;=CRONO.NivelExibicao,MAX($AD$15:OFFSET(AD66,-1,0))+IF($C66&lt;&gt;1,1,MAX(1,COUNTIF([1]QCI!$A$13:$A$24,OFFSET($E66,-1,0)))),"")</f>
        <v>#VALUE!</v>
      </c>
      <c r="AE66" s="4" t="b">
        <f ca="1">IF(AND($C66="S",ORÇAMENTO.CodBarra&lt;&gt;""),IF(ORÇAMENTO.Fonte="",ORÇAMENTO.CodBarra,CONCATENATE(ORÇAMENTO.Fonte," ",ORÇAMENTO.CodBarra)))</f>
        <v>0</v>
      </c>
      <c r="AF66" s="58" t="e">
        <f ca="1">IF(ISERROR(INDIRECT(ORÇAMENTO.BancoRef)),"(abra o arquivo 'Referência "&amp;Excel_BuiltIn_Database&amp;".xls)",IF(OR($C66&lt;&gt;"S",ORÇAMENTO.CodBarra=""),"(Sem Código)",IF(ISERROR(MATCH($AE66,INDIRECT(ORÇAMENTO.BancoRef),0)),"(Código não identificado nas referências)",MATCH($AE66,INDIRECT(ORÇAMENTO.BancoRef),0))))</f>
        <v>#VALUE!</v>
      </c>
      <c r="AG66" s="59" t="e">
        <f ca="1">ROUND(IF(DESONERACAO="sim",REFERENCIA.Desonerado,REFERENCIA.NaoDesonerado),2)</f>
        <v>#VALUE!</v>
      </c>
      <c r="AH66" s="60">
        <f t="shared" si="44"/>
        <v>0.2223</v>
      </c>
      <c r="AJ66" s="61"/>
      <c r="AL66" s="62"/>
      <c r="AM66" s="63" t="e">
        <f t="shared" ca="1" si="0"/>
        <v>#VALUE!</v>
      </c>
      <c r="AN66" s="64">
        <f t="shared" si="45"/>
        <v>0</v>
      </c>
    </row>
    <row r="67" spans="1:40" x14ac:dyDescent="0.2">
      <c r="A67">
        <f t="shared" si="41"/>
        <v>4</v>
      </c>
      <c r="B67">
        <f t="shared" ca="1" si="46"/>
        <v>4</v>
      </c>
      <c r="C67">
        <f t="shared" ca="1" si="47"/>
        <v>4</v>
      </c>
      <c r="D67">
        <f t="shared" ca="1" si="48"/>
        <v>5</v>
      </c>
      <c r="E67" t="e">
        <f ca="1">IF($C67=1,OFFSET(E67,-1,0)+MAX(1,COUNTIF([1]QCI!$A$13:$A$24,OFFSET(ORÇAMENTO!E67,-1,0))),OFFSET(E67,-1,0))</f>
        <v>#VALUE!</v>
      </c>
      <c r="F67">
        <f t="shared" ca="1" si="49"/>
        <v>2</v>
      </c>
      <c r="G67">
        <f t="shared" ca="1" si="50"/>
        <v>5</v>
      </c>
      <c r="H67">
        <f t="shared" ca="1" si="51"/>
        <v>1</v>
      </c>
      <c r="I67">
        <f t="shared" ca="1" si="52"/>
        <v>0</v>
      </c>
      <c r="J67">
        <f t="shared" ca="1" si="9"/>
        <v>18</v>
      </c>
      <c r="K67">
        <f ca="1">IF(OR($C67="S",$C67=0),0,MATCH(OFFSET($D67,0,$C67)+IF($C67&lt;&gt;1,1,COUNTIF([1]QCI!$A$13:$A$24,ORÇAMENTO!E67)),OFFSET($D67,1,$C67,ROW($C$145)-ROW($C67)),0))</f>
        <v>5</v>
      </c>
      <c r="L67" s="42" t="e">
        <f t="shared" ca="1" si="53"/>
        <v>#VALUE!</v>
      </c>
      <c r="M67" s="43" t="s">
        <v>6</v>
      </c>
      <c r="N67" s="44" t="str">
        <f t="shared" ca="1" si="54"/>
        <v>Nível 4</v>
      </c>
      <c r="O67" s="45" t="e">
        <f t="shared" ca="1" si="55"/>
        <v>#VALUE!</v>
      </c>
      <c r="P67" s="46" t="s">
        <v>62</v>
      </c>
      <c r="Q67" s="47"/>
      <c r="R67" s="48" t="s">
        <v>120</v>
      </c>
      <c r="S67" s="49" t="s">
        <v>67</v>
      </c>
      <c r="T67" s="50" t="e">
        <f ca="1">OFFSET([1]CÁLCULO!H$15,ROW($T67)-ROW(T$15),0)</f>
        <v>#VALUE!</v>
      </c>
      <c r="U67" s="51"/>
      <c r="V67" s="52" t="s">
        <v>10</v>
      </c>
      <c r="W67" s="50">
        <f ca="1">IF($C67="S",ROUND(IF(TIPOORCAMENTO="Proposto",ORÇAMENTO.CustoUnitario*(1+$AH67),ORÇAMENTO.PrecoUnitarioLicitado),15-13*$AF$10),0)</f>
        <v>0</v>
      </c>
      <c r="X67" s="53" t="e">
        <f t="shared" ca="1" si="42"/>
        <v>#VALUE!</v>
      </c>
      <c r="Y67" s="54" t="s">
        <v>63</v>
      </c>
      <c r="Z67" t="e">
        <f t="shared" ca="1" si="56"/>
        <v>#VALUE!</v>
      </c>
      <c r="AA67" s="55" t="e">
        <f ca="1">IF($C67="S",IF($Z67="CP",$X67,IF($Z67="RA",(($X67)*[1]QCI!$AA$3),0)),SomaAgrup)</f>
        <v>#VALUE!</v>
      </c>
      <c r="AB67" s="56" t="e">
        <f t="shared" ca="1" si="43"/>
        <v>#VALUE!</v>
      </c>
      <c r="AC67" s="57" t="e">
        <f ca="1">IF($N67="","",IF(ORÇAMENTO.Descricao="","DESCRIÇÃO",IF(AND($C67="S",ORÇAMENTO.Unidade=""),"UNIDADE",IF($X67&lt;0,"VALOR NEGATIVO",IF(OR(AND(TIPOORCAMENTO="Proposto",$AG67&lt;&gt;"",$AG67&gt;0,ORÇAMENTO.CustoUnitario&gt;$AG67),AND(TIPOORCAMENTO="LICITADO",ORÇAMENTO.PrecoUnitarioLicitado&gt;$AN67)),"ACIMA REF.","")))))</f>
        <v>#VALUE!</v>
      </c>
      <c r="AD67" t="str">
        <f ca="1">IF(C67&lt;=CRONO.NivelExibicao,MAX($AD$15:OFFSET(AD67,-1,0))+IF($C67&lt;&gt;1,1,MAX(1,COUNTIF([1]QCI!$A$13:$A$24,OFFSET($E67,-1,0)))),"")</f>
        <v/>
      </c>
      <c r="AE67" s="4" t="b">
        <f ca="1">IF(AND($C67="S",ORÇAMENTO.CodBarra&lt;&gt;""),IF(ORÇAMENTO.Fonte="",ORÇAMENTO.CodBarra,CONCATENATE(ORÇAMENTO.Fonte," ",ORÇAMENTO.CodBarra)))</f>
        <v>0</v>
      </c>
      <c r="AF67" s="58" t="e">
        <f ca="1">IF(ISERROR(INDIRECT(ORÇAMENTO.BancoRef)),"(abra o arquivo 'Referência "&amp;Excel_BuiltIn_Database&amp;".xls)",IF(OR($C67&lt;&gt;"S",ORÇAMENTO.CodBarra=""),"(Sem Código)",IF(ISERROR(MATCH($AE67,INDIRECT(ORÇAMENTO.BancoRef),0)),"(Código não identificado nas referências)",MATCH($AE67,INDIRECT(ORÇAMENTO.BancoRef),0))))</f>
        <v>#VALUE!</v>
      </c>
      <c r="AG67" s="59" t="e">
        <f ca="1">ROUND(IF(DESONERACAO="sim",REFERENCIA.Desonerado,REFERENCIA.NaoDesonerado),2)</f>
        <v>#VALUE!</v>
      </c>
      <c r="AH67" s="60">
        <f t="shared" si="44"/>
        <v>0.2223</v>
      </c>
      <c r="AJ67" s="61"/>
      <c r="AL67" s="62"/>
      <c r="AM67" s="63" t="e">
        <f t="shared" ca="1" si="0"/>
        <v>#VALUE!</v>
      </c>
      <c r="AN67" s="64">
        <f t="shared" si="45"/>
        <v>0</v>
      </c>
    </row>
    <row r="68" spans="1:40" ht="25.5" x14ac:dyDescent="0.2">
      <c r="A68" t="str">
        <f t="shared" si="41"/>
        <v>S</v>
      </c>
      <c r="B68">
        <f t="shared" ca="1" si="46"/>
        <v>4</v>
      </c>
      <c r="C68" t="str">
        <f t="shared" ca="1" si="47"/>
        <v>S</v>
      </c>
      <c r="D68">
        <f t="shared" ca="1" si="48"/>
        <v>0</v>
      </c>
      <c r="E68" t="e">
        <f ca="1">IF($C68=1,OFFSET(E68,-1,0)+MAX(1,COUNTIF([1]QCI!$A$13:$A$24,OFFSET(ORÇAMENTO!E68,-1,0))),OFFSET(E68,-1,0))</f>
        <v>#VALUE!</v>
      </c>
      <c r="F68">
        <f t="shared" ca="1" si="49"/>
        <v>2</v>
      </c>
      <c r="G68">
        <f t="shared" ca="1" si="50"/>
        <v>5</v>
      </c>
      <c r="H68">
        <f t="shared" ca="1" si="51"/>
        <v>1</v>
      </c>
      <c r="I68" t="e">
        <f t="shared" ca="1" si="52"/>
        <v>#VALUE!</v>
      </c>
      <c r="J68">
        <f t="shared" ca="1" si="9"/>
        <v>0</v>
      </c>
      <c r="K68">
        <f ca="1">IF(OR($C68="S",$C68=0),0,MATCH(OFFSET($D68,0,$C68)+IF($C68&lt;&gt;1,1,COUNTIF([1]QCI!$A$13:$A$24,ORÇAMENTO!E68)),OFFSET($D68,1,$C68,ROW($C$145)-ROW($C68)),0))</f>
        <v>0</v>
      </c>
      <c r="L68" s="42" t="e">
        <f t="shared" ca="1" si="53"/>
        <v>#VALUE!</v>
      </c>
      <c r="M68" s="43" t="s">
        <v>7</v>
      </c>
      <c r="N68" s="44" t="str">
        <f t="shared" ca="1" si="54"/>
        <v>Serviço</v>
      </c>
      <c r="O68" s="45" t="e">
        <f t="shared" ca="1" si="55"/>
        <v>#VALUE!</v>
      </c>
      <c r="P68" s="46" t="s">
        <v>62</v>
      </c>
      <c r="Q68" s="47" t="s">
        <v>132</v>
      </c>
      <c r="R68" s="48" t="s">
        <v>133</v>
      </c>
      <c r="S68" s="49" t="s">
        <v>131</v>
      </c>
      <c r="T68" s="50" t="e">
        <f ca="1">OFFSET([1]CÁLCULO!H$15,ROW($T68)-ROW(T$15),0)</f>
        <v>#VALUE!</v>
      </c>
      <c r="U68" s="51" t="e">
        <f t="shared" ref="U68:U81" ca="1" si="58">AG68</f>
        <v>#VALUE!</v>
      </c>
      <c r="V68" s="52" t="s">
        <v>10</v>
      </c>
      <c r="W68" s="50" t="e">
        <f ca="1">IF($C68="S",ROUND(IF(TIPOORCAMENTO="Proposto",ORÇAMENTO.CustoUnitario*(1+$AH68),ORÇAMENTO.PrecoUnitarioLicitado),15-13*$AF$10),0)</f>
        <v>#VALUE!</v>
      </c>
      <c r="X68" s="53" t="e">
        <f t="shared" ca="1" si="42"/>
        <v>#VALUE!</v>
      </c>
      <c r="Y68" s="54" t="s">
        <v>63</v>
      </c>
      <c r="Z68" t="e">
        <f t="shared" ca="1" si="56"/>
        <v>#VALUE!</v>
      </c>
      <c r="AA68" s="55" t="e">
        <f ca="1">IF($C68="S",IF($Z68="CP",$X68,IF($Z68="RA",(($X68)*[1]QCI!$AA$3),0)),SomaAgrup)</f>
        <v>#VALUE!</v>
      </c>
      <c r="AB68" s="56" t="e">
        <f t="shared" ca="1" si="43"/>
        <v>#VALUE!</v>
      </c>
      <c r="AC68" s="57" t="e">
        <f ca="1">IF($N68="","",IF(ORÇAMENTO.Descricao="","DESCRIÇÃO",IF(AND($C68="S",ORÇAMENTO.Unidade=""),"UNIDADE",IF($X68&lt;0,"VALOR NEGATIVO",IF(OR(AND(TIPOORCAMENTO="Proposto",$AG68&lt;&gt;"",$AG68&gt;0,ORÇAMENTO.CustoUnitario&gt;$AG68),AND(TIPOORCAMENTO="LICITADO",ORÇAMENTO.PrecoUnitarioLicitado&gt;$AN68)),"ACIMA REF.","")))))</f>
        <v>#VALUE!</v>
      </c>
      <c r="AD68" t="str">
        <f ca="1">IF(C68&lt;=CRONO.NivelExibicao,MAX($AD$15:OFFSET(AD68,-1,0))+IF($C68&lt;&gt;1,1,MAX(1,COUNTIF([1]QCI!$A$13:$A$24,OFFSET($E68,-1,0)))),"")</f>
        <v/>
      </c>
      <c r="AE68" s="4" t="str">
        <f ca="1">IF(AND($C68="S",ORÇAMENTO.CodBarra&lt;&gt;""),IF(ORÇAMENTO.Fonte="",ORÇAMENTO.CodBarra,CONCATENATE(ORÇAMENTO.Fonte," ",ORÇAMENTO.CodBarra)))</f>
        <v>SINAPI 96545</v>
      </c>
      <c r="AF68" s="58" t="e">
        <f ca="1">IF(ISERROR(INDIRECT(ORÇAMENTO.BancoRef)),"(abra o arquivo 'Referência "&amp;Excel_BuiltIn_Database&amp;".xls)",IF(OR($C68&lt;&gt;"S",ORÇAMENTO.CodBarra=""),"(Sem Código)",IF(ISERROR(MATCH($AE68,INDIRECT(ORÇAMENTO.BancoRef),0)),"(Código não identificado nas referências)",MATCH($AE68,INDIRECT(ORÇAMENTO.BancoRef),0))))</f>
        <v>#VALUE!</v>
      </c>
      <c r="AG68" s="59" t="e">
        <f ca="1">ROUND(IF(DESONERACAO="sim",REFERENCIA.Desonerado,REFERENCIA.NaoDesonerado),2)</f>
        <v>#VALUE!</v>
      </c>
      <c r="AH68" s="60">
        <f t="shared" si="44"/>
        <v>0.2223</v>
      </c>
      <c r="AJ68" s="61">
        <v>341.28</v>
      </c>
      <c r="AL68" s="62"/>
      <c r="AM68" s="63" t="e">
        <f t="shared" ca="1" si="0"/>
        <v>#VALUE!</v>
      </c>
      <c r="AN68" s="64" t="e">
        <f t="shared" ca="1" si="45"/>
        <v>#VALUE!</v>
      </c>
    </row>
    <row r="69" spans="1:40" ht="25.5" x14ac:dyDescent="0.2">
      <c r="A69" t="str">
        <f t="shared" si="41"/>
        <v>S</v>
      </c>
      <c r="B69">
        <f t="shared" ca="1" si="46"/>
        <v>4</v>
      </c>
      <c r="C69" t="str">
        <f t="shared" ca="1" si="47"/>
        <v>S</v>
      </c>
      <c r="D69">
        <f t="shared" ca="1" si="48"/>
        <v>0</v>
      </c>
      <c r="E69" t="e">
        <f ca="1">IF($C69=1,OFFSET(E69,-1,0)+MAX(1,COUNTIF([1]QCI!$A$13:$A$24,OFFSET(ORÇAMENTO!E69,-1,0))),OFFSET(E69,-1,0))</f>
        <v>#VALUE!</v>
      </c>
      <c r="F69">
        <f t="shared" ca="1" si="49"/>
        <v>2</v>
      </c>
      <c r="G69">
        <f t="shared" ca="1" si="50"/>
        <v>5</v>
      </c>
      <c r="H69">
        <f t="shared" ca="1" si="51"/>
        <v>1</v>
      </c>
      <c r="I69" t="e">
        <f t="shared" ca="1" si="52"/>
        <v>#VALUE!</v>
      </c>
      <c r="J69">
        <f t="shared" ca="1" si="9"/>
        <v>0</v>
      </c>
      <c r="K69">
        <f ca="1">IF(OR($C69="S",$C69=0),0,MATCH(OFFSET($D69,0,$C69)+IF($C69&lt;&gt;1,1,COUNTIF([1]QCI!$A$13:$A$24,ORÇAMENTO!E69)),OFFSET($D69,1,$C69,ROW($C$145)-ROW($C69)),0))</f>
        <v>0</v>
      </c>
      <c r="L69" s="42" t="e">
        <f t="shared" ca="1" si="53"/>
        <v>#VALUE!</v>
      </c>
      <c r="M69" s="43" t="s">
        <v>7</v>
      </c>
      <c r="N69" s="44" t="str">
        <f t="shared" ca="1" si="54"/>
        <v>Serviço</v>
      </c>
      <c r="O69" s="45" t="e">
        <f t="shared" ca="1" si="55"/>
        <v>#VALUE!</v>
      </c>
      <c r="P69" s="46" t="s">
        <v>62</v>
      </c>
      <c r="Q69" s="47" t="s">
        <v>129</v>
      </c>
      <c r="R69" s="48" t="s">
        <v>130</v>
      </c>
      <c r="S69" s="49" t="s">
        <v>131</v>
      </c>
      <c r="T69" s="50" t="e">
        <f ca="1">OFFSET([1]CÁLCULO!H$15,ROW($T69)-ROW(T$15),0)</f>
        <v>#VALUE!</v>
      </c>
      <c r="U69" s="51" t="e">
        <f t="shared" ca="1" si="58"/>
        <v>#VALUE!</v>
      </c>
      <c r="V69" s="52" t="s">
        <v>10</v>
      </c>
      <c r="W69" s="50" t="e">
        <f ca="1">IF($C69="S",ROUND(IF(TIPOORCAMENTO="Proposto",ORÇAMENTO.CustoUnitario*(1+$AH69),ORÇAMENTO.PrecoUnitarioLicitado),15-13*$AF$10),0)</f>
        <v>#VALUE!</v>
      </c>
      <c r="X69" s="53" t="e">
        <f t="shared" ca="1" si="42"/>
        <v>#VALUE!</v>
      </c>
      <c r="Y69" s="54" t="s">
        <v>63</v>
      </c>
      <c r="Z69" t="e">
        <f t="shared" ca="1" si="56"/>
        <v>#VALUE!</v>
      </c>
      <c r="AA69" s="55" t="e">
        <f ca="1">IF($C69="S",IF($Z69="CP",$X69,IF($Z69="RA",(($X69)*[1]QCI!$AA$3),0)),SomaAgrup)</f>
        <v>#VALUE!</v>
      </c>
      <c r="AB69" s="56" t="e">
        <f t="shared" ca="1" si="43"/>
        <v>#VALUE!</v>
      </c>
      <c r="AC69" s="57" t="e">
        <f ca="1">IF($N69="","",IF(ORÇAMENTO.Descricao="","DESCRIÇÃO",IF(AND($C69="S",ORÇAMENTO.Unidade=""),"UNIDADE",IF($X69&lt;0,"VALOR NEGATIVO",IF(OR(AND(TIPOORCAMENTO="Proposto",$AG69&lt;&gt;"",$AG69&gt;0,ORÇAMENTO.CustoUnitario&gt;$AG69),AND(TIPOORCAMENTO="LICITADO",ORÇAMENTO.PrecoUnitarioLicitado&gt;$AN69)),"ACIMA REF.","")))))</f>
        <v>#VALUE!</v>
      </c>
      <c r="AD69" t="str">
        <f ca="1">IF(C69&lt;=CRONO.NivelExibicao,MAX($AD$15:OFFSET(AD69,-1,0))+IF($C69&lt;&gt;1,1,MAX(1,COUNTIF([1]QCI!$A$13:$A$24,OFFSET($E69,-1,0)))),"")</f>
        <v/>
      </c>
      <c r="AE69" s="4" t="str">
        <f ca="1">IF(AND($C69="S",ORÇAMENTO.CodBarra&lt;&gt;""),IF(ORÇAMENTO.Fonte="",ORÇAMENTO.CodBarra,CONCATENATE(ORÇAMENTO.Fonte," ",ORÇAMENTO.CodBarra)))</f>
        <v>SINAPI 96543</v>
      </c>
      <c r="AF69" s="58" t="e">
        <f ca="1">IF(ISERROR(INDIRECT(ORÇAMENTO.BancoRef)),"(abra o arquivo 'Referência "&amp;Excel_BuiltIn_Database&amp;".xls)",IF(OR($C69&lt;&gt;"S",ORÇAMENTO.CodBarra=""),"(Sem Código)",IF(ISERROR(MATCH($AE69,INDIRECT(ORÇAMENTO.BancoRef),0)),"(Código não identificado nas referências)",MATCH($AE69,INDIRECT(ORÇAMENTO.BancoRef),0))))</f>
        <v>#VALUE!</v>
      </c>
      <c r="AG69" s="59" t="e">
        <f ca="1">ROUND(IF(DESONERACAO="sim",REFERENCIA.Desonerado,REFERENCIA.NaoDesonerado),2)</f>
        <v>#VALUE!</v>
      </c>
      <c r="AH69" s="60">
        <f t="shared" si="44"/>
        <v>0.2223</v>
      </c>
      <c r="AJ69" s="61">
        <v>301.76</v>
      </c>
      <c r="AL69" s="62"/>
      <c r="AM69" s="63" t="e">
        <f t="shared" ca="1" si="0"/>
        <v>#VALUE!</v>
      </c>
      <c r="AN69" s="64" t="e">
        <f t="shared" ca="1" si="45"/>
        <v>#VALUE!</v>
      </c>
    </row>
    <row r="70" spans="1:40" ht="38.25" x14ac:dyDescent="0.2">
      <c r="A70" t="str">
        <f t="shared" si="41"/>
        <v>S</v>
      </c>
      <c r="B70">
        <f t="shared" ca="1" si="46"/>
        <v>4</v>
      </c>
      <c r="C70" t="str">
        <f t="shared" ca="1" si="47"/>
        <v>S</v>
      </c>
      <c r="D70">
        <f t="shared" ca="1" si="48"/>
        <v>0</v>
      </c>
      <c r="E70" t="e">
        <f ca="1">IF($C70=1,OFFSET(E70,-1,0)+MAX(1,COUNTIF([1]QCI!$A$13:$A$24,OFFSET(ORÇAMENTO!E70,-1,0))),OFFSET(E70,-1,0))</f>
        <v>#VALUE!</v>
      </c>
      <c r="F70">
        <f t="shared" ca="1" si="49"/>
        <v>2</v>
      </c>
      <c r="G70">
        <f t="shared" ca="1" si="50"/>
        <v>5</v>
      </c>
      <c r="H70">
        <f t="shared" ca="1" si="51"/>
        <v>1</v>
      </c>
      <c r="I70" t="e">
        <f t="shared" ca="1" si="52"/>
        <v>#VALUE!</v>
      </c>
      <c r="J70">
        <f t="shared" ca="1" si="9"/>
        <v>0</v>
      </c>
      <c r="K70">
        <f ca="1">IF(OR($C70="S",$C70=0),0,MATCH(OFFSET($D70,0,$C70)+IF($C70&lt;&gt;1,1,COUNTIF([1]QCI!$A$13:$A$24,ORÇAMENTO!E70)),OFFSET($D70,1,$C70,ROW($C$145)-ROW($C70)),0))</f>
        <v>0</v>
      </c>
      <c r="L70" s="42" t="e">
        <f t="shared" ca="1" si="53"/>
        <v>#VALUE!</v>
      </c>
      <c r="M70" s="43" t="s">
        <v>7</v>
      </c>
      <c r="N70" s="44" t="str">
        <f t="shared" ca="1" si="54"/>
        <v>Serviço</v>
      </c>
      <c r="O70" s="45" t="e">
        <f t="shared" ca="1" si="55"/>
        <v>#VALUE!</v>
      </c>
      <c r="P70" s="46" t="s">
        <v>62</v>
      </c>
      <c r="Q70" s="47" t="s">
        <v>151</v>
      </c>
      <c r="R70" s="48" t="s">
        <v>152</v>
      </c>
      <c r="S70" s="49" t="s">
        <v>75</v>
      </c>
      <c r="T70" s="50" t="e">
        <f ca="1">OFFSET([1]CÁLCULO!H$15,ROW($T70)-ROW(T$15),0)</f>
        <v>#VALUE!</v>
      </c>
      <c r="U70" s="51" t="e">
        <f t="shared" ca="1" si="58"/>
        <v>#VALUE!</v>
      </c>
      <c r="V70" s="52" t="s">
        <v>10</v>
      </c>
      <c r="W70" s="50" t="e">
        <f ca="1">IF($C70="S",ROUND(IF(TIPOORCAMENTO="Proposto",ORÇAMENTO.CustoUnitario*(1+$AH70),ORÇAMENTO.PrecoUnitarioLicitado),15-13*$AF$10),0)</f>
        <v>#VALUE!</v>
      </c>
      <c r="X70" s="53" t="e">
        <f t="shared" ca="1" si="42"/>
        <v>#VALUE!</v>
      </c>
      <c r="Y70" s="54" t="s">
        <v>63</v>
      </c>
      <c r="Z70" t="e">
        <f t="shared" ca="1" si="56"/>
        <v>#VALUE!</v>
      </c>
      <c r="AA70" s="55" t="e">
        <f ca="1">IF($C70="S",IF($Z70="CP",$X70,IF($Z70="RA",(($X70)*[1]QCI!$AA$3),0)),SomaAgrup)</f>
        <v>#VALUE!</v>
      </c>
      <c r="AB70" s="56" t="e">
        <f t="shared" ca="1" si="43"/>
        <v>#VALUE!</v>
      </c>
      <c r="AC70" s="57" t="e">
        <f ca="1">IF($N70="","",IF(ORÇAMENTO.Descricao="","DESCRIÇÃO",IF(AND($C70="S",ORÇAMENTO.Unidade=""),"UNIDADE",IF($X70&lt;0,"VALOR NEGATIVO",IF(OR(AND(TIPOORCAMENTO="Proposto",$AG70&lt;&gt;"",$AG70&gt;0,ORÇAMENTO.CustoUnitario&gt;$AG70),AND(TIPOORCAMENTO="LICITADO",ORÇAMENTO.PrecoUnitarioLicitado&gt;$AN70)),"ACIMA REF.","")))))</f>
        <v>#VALUE!</v>
      </c>
      <c r="AD70" t="str">
        <f ca="1">IF(C70&lt;=CRONO.NivelExibicao,MAX($AD$15:OFFSET(AD70,-1,0))+IF($C70&lt;&gt;1,1,MAX(1,COUNTIF([1]QCI!$A$13:$A$24,OFFSET($E70,-1,0)))),"")</f>
        <v/>
      </c>
      <c r="AE70" s="4" t="str">
        <f ca="1">IF(AND($C70="S",ORÇAMENTO.CodBarra&lt;&gt;""),IF(ORÇAMENTO.Fonte="",ORÇAMENTO.CodBarra,CONCATENATE(ORÇAMENTO.Fonte," ",ORÇAMENTO.CodBarra)))</f>
        <v>SINAPI 96536</v>
      </c>
      <c r="AF70" s="58" t="e">
        <f ca="1">IF(ISERROR(INDIRECT(ORÇAMENTO.BancoRef)),"(abra o arquivo 'Referência "&amp;Excel_BuiltIn_Database&amp;".xls)",IF(OR($C70&lt;&gt;"S",ORÇAMENTO.CodBarra=""),"(Sem Código)",IF(ISERROR(MATCH($AE70,INDIRECT(ORÇAMENTO.BancoRef),0)),"(Código não identificado nas referências)",MATCH($AE70,INDIRECT(ORÇAMENTO.BancoRef),0))))</f>
        <v>#VALUE!</v>
      </c>
      <c r="AG70" s="59" t="e">
        <f ca="1">ROUND(IF(DESONERACAO="sim",REFERENCIA.Desonerado,REFERENCIA.NaoDesonerado),2)</f>
        <v>#VALUE!</v>
      </c>
      <c r="AH70" s="60">
        <f t="shared" si="44"/>
        <v>0.2223</v>
      </c>
      <c r="AJ70" s="61">
        <v>20</v>
      </c>
      <c r="AL70" s="62"/>
      <c r="AM70" s="63" t="e">
        <f t="shared" ca="1" si="0"/>
        <v>#VALUE!</v>
      </c>
      <c r="AN70" s="64" t="e">
        <f t="shared" ca="1" si="45"/>
        <v>#VALUE!</v>
      </c>
    </row>
    <row r="71" spans="1:40" ht="38.25" x14ac:dyDescent="0.2">
      <c r="A71" t="str">
        <f t="shared" si="41"/>
        <v>S</v>
      </c>
      <c r="B71">
        <f t="shared" ca="1" si="46"/>
        <v>4</v>
      </c>
      <c r="C71" t="str">
        <f t="shared" ca="1" si="47"/>
        <v>S</v>
      </c>
      <c r="D71">
        <f t="shared" ca="1" si="48"/>
        <v>0</v>
      </c>
      <c r="E71" t="e">
        <f ca="1">IF($C71=1,OFFSET(E71,-1,0)+MAX(1,COUNTIF([1]QCI!$A$13:$A$24,OFFSET(ORÇAMENTO!E71,-1,0))),OFFSET(E71,-1,0))</f>
        <v>#VALUE!</v>
      </c>
      <c r="F71">
        <f t="shared" ca="1" si="49"/>
        <v>2</v>
      </c>
      <c r="G71">
        <f t="shared" ca="1" si="50"/>
        <v>5</v>
      </c>
      <c r="H71">
        <f t="shared" ca="1" si="51"/>
        <v>1</v>
      </c>
      <c r="I71" t="e">
        <f t="shared" ca="1" si="52"/>
        <v>#VALUE!</v>
      </c>
      <c r="J71">
        <f t="shared" ca="1" si="9"/>
        <v>0</v>
      </c>
      <c r="K71">
        <f ca="1">IF(OR($C71="S",$C71=0),0,MATCH(OFFSET($D71,0,$C71)+IF($C71&lt;&gt;1,1,COUNTIF([1]QCI!$A$13:$A$24,ORÇAMENTO!E71)),OFFSET($D71,1,$C71,ROW($C$145)-ROW($C71)),0))</f>
        <v>0</v>
      </c>
      <c r="L71" s="42" t="e">
        <f t="shared" ca="1" si="53"/>
        <v>#VALUE!</v>
      </c>
      <c r="M71" s="43" t="s">
        <v>7</v>
      </c>
      <c r="N71" s="44" t="str">
        <f t="shared" ca="1" si="54"/>
        <v>Serviço</v>
      </c>
      <c r="O71" s="45" t="e">
        <f t="shared" ca="1" si="55"/>
        <v>#VALUE!</v>
      </c>
      <c r="P71" s="46" t="s">
        <v>62</v>
      </c>
      <c r="Q71" s="47" t="s">
        <v>136</v>
      </c>
      <c r="R71" s="48" t="s">
        <v>137</v>
      </c>
      <c r="S71" s="49" t="s">
        <v>78</v>
      </c>
      <c r="T71" s="50" t="e">
        <f ca="1">OFFSET([1]CÁLCULO!H$15,ROW($T71)-ROW(T$15),0)</f>
        <v>#VALUE!</v>
      </c>
      <c r="U71" s="51" t="e">
        <f t="shared" ca="1" si="58"/>
        <v>#VALUE!</v>
      </c>
      <c r="V71" s="52" t="s">
        <v>10</v>
      </c>
      <c r="W71" s="50" t="e">
        <f ca="1">IF($C71="S",ROUND(IF(TIPOORCAMENTO="Proposto",ORÇAMENTO.CustoUnitario*(1+$AH71),ORÇAMENTO.PrecoUnitarioLicitado),15-13*$AF$10),0)</f>
        <v>#VALUE!</v>
      </c>
      <c r="X71" s="53" t="e">
        <f t="shared" ca="1" si="42"/>
        <v>#VALUE!</v>
      </c>
      <c r="Y71" s="54" t="s">
        <v>63</v>
      </c>
      <c r="Z71" t="e">
        <f t="shared" ca="1" si="56"/>
        <v>#VALUE!</v>
      </c>
      <c r="AA71" s="55" t="e">
        <f ca="1">IF($C71="S",IF($Z71="CP",$X71,IF($Z71="RA",(($X71)*[1]QCI!$AA$3),0)),SomaAgrup)</f>
        <v>#VALUE!</v>
      </c>
      <c r="AB71" s="56" t="e">
        <f t="shared" ca="1" si="43"/>
        <v>#VALUE!</v>
      </c>
      <c r="AC71" s="57" t="e">
        <f ca="1">IF($N71="","",IF(ORÇAMENTO.Descricao="","DESCRIÇÃO",IF(AND($C71="S",ORÇAMENTO.Unidade=""),"UNIDADE",IF($X71&lt;0,"VALOR NEGATIVO",IF(OR(AND(TIPOORCAMENTO="Proposto",$AG71&lt;&gt;"",$AG71&gt;0,ORÇAMENTO.CustoUnitario&gt;$AG71),AND(TIPOORCAMENTO="LICITADO",ORÇAMENTO.PrecoUnitarioLicitado&gt;$AN71)),"ACIMA REF.","")))))</f>
        <v>#VALUE!</v>
      </c>
      <c r="AD71" t="str">
        <f ca="1">IF(C71&lt;=CRONO.NivelExibicao,MAX($AD$15:OFFSET(AD71,-1,0))+IF($C71&lt;&gt;1,1,MAX(1,COUNTIF([1]QCI!$A$13:$A$24,OFFSET($E71,-1,0)))),"")</f>
        <v/>
      </c>
      <c r="AE71" s="4" t="str">
        <f ca="1">IF(AND($C71="S",ORÇAMENTO.CodBarra&lt;&gt;""),IF(ORÇAMENTO.Fonte="",ORÇAMENTO.CodBarra,CONCATENATE(ORÇAMENTO.Fonte," ",ORÇAMENTO.CodBarra)))</f>
        <v>SINAPI 94971</v>
      </c>
      <c r="AF71" s="58" t="e">
        <f ca="1">IF(ISERROR(INDIRECT(ORÇAMENTO.BancoRef)),"(abra o arquivo 'Referência "&amp;Excel_BuiltIn_Database&amp;".xls)",IF(OR($C71&lt;&gt;"S",ORÇAMENTO.CodBarra=""),"(Sem Código)",IF(ISERROR(MATCH($AE71,INDIRECT(ORÇAMENTO.BancoRef),0)),"(Código não identificado nas referências)",MATCH($AE71,INDIRECT(ORÇAMENTO.BancoRef),0))))</f>
        <v>#VALUE!</v>
      </c>
      <c r="AG71" s="59" t="e">
        <f ca="1">ROUND(IF(DESONERACAO="sim",REFERENCIA.Desonerado,REFERENCIA.NaoDesonerado),2)</f>
        <v>#VALUE!</v>
      </c>
      <c r="AH71" s="60">
        <f t="shared" si="44"/>
        <v>0.2223</v>
      </c>
      <c r="AJ71" s="61">
        <v>7.32</v>
      </c>
      <c r="AL71" s="62"/>
      <c r="AM71" s="63" t="e">
        <f t="shared" ca="1" si="0"/>
        <v>#VALUE!</v>
      </c>
      <c r="AN71" s="64" t="e">
        <f t="shared" ca="1" si="45"/>
        <v>#VALUE!</v>
      </c>
    </row>
    <row r="72" spans="1:40" x14ac:dyDescent="0.2">
      <c r="A72">
        <f t="shared" si="41"/>
        <v>4</v>
      </c>
      <c r="B72">
        <f t="shared" ca="1" si="46"/>
        <v>4</v>
      </c>
      <c r="C72">
        <f t="shared" ca="1" si="47"/>
        <v>4</v>
      </c>
      <c r="D72">
        <f t="shared" ca="1" si="48"/>
        <v>2</v>
      </c>
      <c r="E72" t="e">
        <f ca="1">IF($C72=1,OFFSET(E72,-1,0)+MAX(1,COUNTIF([1]QCI!$A$13:$A$24,OFFSET(ORÇAMENTO!E72,-1,0))),OFFSET(E72,-1,0))</f>
        <v>#VALUE!</v>
      </c>
      <c r="F72">
        <f t="shared" ca="1" si="49"/>
        <v>2</v>
      </c>
      <c r="G72">
        <f t="shared" ca="1" si="50"/>
        <v>5</v>
      </c>
      <c r="H72">
        <f t="shared" ca="1" si="51"/>
        <v>2</v>
      </c>
      <c r="I72">
        <f t="shared" ca="1" si="52"/>
        <v>0</v>
      </c>
      <c r="J72">
        <f t="shared" ca="1" si="9"/>
        <v>13</v>
      </c>
      <c r="K72">
        <f ca="1">IF(OR($C72="S",$C72=0),0,MATCH(OFFSET($D72,0,$C72)+IF($C72&lt;&gt;1,1,COUNTIF([1]QCI!$A$13:$A$24,ORÇAMENTO!E72)),OFFSET($D72,1,$C72,ROW($C$145)-ROW($C72)),0))</f>
        <v>2</v>
      </c>
      <c r="L72" s="42" t="e">
        <f t="shared" ca="1" si="53"/>
        <v>#VALUE!</v>
      </c>
      <c r="M72" s="43" t="s">
        <v>6</v>
      </c>
      <c r="N72" s="44" t="str">
        <f t="shared" ca="1" si="54"/>
        <v>Nível 4</v>
      </c>
      <c r="O72" s="45" t="e">
        <f t="shared" ca="1" si="55"/>
        <v>#VALUE!</v>
      </c>
      <c r="P72" s="46" t="s">
        <v>62</v>
      </c>
      <c r="Q72" s="47"/>
      <c r="R72" s="48" t="s">
        <v>153</v>
      </c>
      <c r="S72" s="49" t="s">
        <v>67</v>
      </c>
      <c r="T72" s="50" t="e">
        <f ca="1">OFFSET([1]CÁLCULO!H$15,ROW($T72)-ROW(T$15),0)</f>
        <v>#VALUE!</v>
      </c>
      <c r="U72" s="51"/>
      <c r="V72" s="52" t="s">
        <v>10</v>
      </c>
      <c r="W72" s="50">
        <f ca="1">IF($C72="S",ROUND(IF(TIPOORCAMENTO="Proposto",ORÇAMENTO.CustoUnitario*(1+$AH72),ORÇAMENTO.PrecoUnitarioLicitado),15-13*$AF$10),0)</f>
        <v>0</v>
      </c>
      <c r="X72" s="53" t="e">
        <f t="shared" ca="1" si="42"/>
        <v>#VALUE!</v>
      </c>
      <c r="Y72" s="54" t="s">
        <v>63</v>
      </c>
      <c r="Z72" t="e">
        <f t="shared" ca="1" si="56"/>
        <v>#VALUE!</v>
      </c>
      <c r="AA72" s="55" t="e">
        <f ca="1">IF($C72="S",IF($Z72="CP",$X72,IF($Z72="RA",(($X72)*[1]QCI!$AA$3),0)),SomaAgrup)</f>
        <v>#VALUE!</v>
      </c>
      <c r="AB72" s="56" t="e">
        <f t="shared" ca="1" si="43"/>
        <v>#VALUE!</v>
      </c>
      <c r="AC72" s="57" t="e">
        <f ca="1">IF($N72="","",IF(ORÇAMENTO.Descricao="","DESCRIÇÃO",IF(AND($C72="S",ORÇAMENTO.Unidade=""),"UNIDADE",IF($X72&lt;0,"VALOR NEGATIVO",IF(OR(AND(TIPOORCAMENTO="Proposto",$AG72&lt;&gt;"",$AG72&gt;0,ORÇAMENTO.CustoUnitario&gt;$AG72),AND(TIPOORCAMENTO="LICITADO",ORÇAMENTO.PrecoUnitarioLicitado&gt;$AN72)),"ACIMA REF.","")))))</f>
        <v>#VALUE!</v>
      </c>
      <c r="AD72" t="str">
        <f ca="1">IF(C72&lt;=CRONO.NivelExibicao,MAX($AD$15:OFFSET(AD72,-1,0))+IF($C72&lt;&gt;1,1,MAX(1,COUNTIF([1]QCI!$A$13:$A$24,OFFSET($E72,-1,0)))),"")</f>
        <v/>
      </c>
      <c r="AE72" s="4" t="b">
        <f ca="1">IF(AND($C72="S",ORÇAMENTO.CodBarra&lt;&gt;""),IF(ORÇAMENTO.Fonte="",ORÇAMENTO.CodBarra,CONCATENATE(ORÇAMENTO.Fonte," ",ORÇAMENTO.CodBarra)))</f>
        <v>0</v>
      </c>
      <c r="AF72" s="58" t="e">
        <f ca="1">IF(ISERROR(INDIRECT(ORÇAMENTO.BancoRef)),"(abra o arquivo 'Referência "&amp;Excel_BuiltIn_Database&amp;".xls)",IF(OR($C72&lt;&gt;"S",ORÇAMENTO.CodBarra=""),"(Sem Código)",IF(ISERROR(MATCH($AE72,INDIRECT(ORÇAMENTO.BancoRef),0)),"(Código não identificado nas referências)",MATCH($AE72,INDIRECT(ORÇAMENTO.BancoRef),0))))</f>
        <v>#VALUE!</v>
      </c>
      <c r="AG72" s="59" t="e">
        <f ca="1">ROUND(IF(DESONERACAO="sim",REFERENCIA.Desonerado,REFERENCIA.NaoDesonerado),2)</f>
        <v>#VALUE!</v>
      </c>
      <c r="AH72" s="60">
        <f t="shared" si="44"/>
        <v>0.2223</v>
      </c>
      <c r="AJ72" s="61"/>
      <c r="AL72" s="62"/>
      <c r="AM72" s="63" t="e">
        <f t="shared" ca="1" si="0"/>
        <v>#VALUE!</v>
      </c>
      <c r="AN72" s="64">
        <f t="shared" si="45"/>
        <v>0</v>
      </c>
    </row>
    <row r="73" spans="1:40" x14ac:dyDescent="0.2">
      <c r="A73" t="str">
        <f t="shared" si="41"/>
        <v>S</v>
      </c>
      <c r="B73">
        <f t="shared" ca="1" si="46"/>
        <v>4</v>
      </c>
      <c r="C73" t="str">
        <f t="shared" ca="1" si="47"/>
        <v>S</v>
      </c>
      <c r="D73">
        <f t="shared" ca="1" si="48"/>
        <v>0</v>
      </c>
      <c r="E73" t="e">
        <f ca="1">IF($C73=1,OFFSET(E73,-1,0)+MAX(1,COUNTIF([1]QCI!$A$13:$A$24,OFFSET(ORÇAMENTO!E73,-1,0))),OFFSET(E73,-1,0))</f>
        <v>#VALUE!</v>
      </c>
      <c r="F73">
        <f t="shared" ca="1" si="49"/>
        <v>2</v>
      </c>
      <c r="G73">
        <f t="shared" ca="1" si="50"/>
        <v>5</v>
      </c>
      <c r="H73">
        <f t="shared" ca="1" si="51"/>
        <v>2</v>
      </c>
      <c r="I73" t="e">
        <f t="shared" ca="1" si="52"/>
        <v>#VALUE!</v>
      </c>
      <c r="J73">
        <f t="shared" ca="1" si="9"/>
        <v>0</v>
      </c>
      <c r="K73">
        <f ca="1">IF(OR($C73="S",$C73=0),0,MATCH(OFFSET($D73,0,$C73)+IF($C73&lt;&gt;1,1,COUNTIF([1]QCI!$A$13:$A$24,ORÇAMENTO!E73)),OFFSET($D73,1,$C73,ROW($C$145)-ROW($C73)),0))</f>
        <v>0</v>
      </c>
      <c r="L73" s="42" t="e">
        <f t="shared" ca="1" si="53"/>
        <v>#VALUE!</v>
      </c>
      <c r="M73" s="43" t="s">
        <v>7</v>
      </c>
      <c r="N73" s="44" t="str">
        <f t="shared" ca="1" si="54"/>
        <v>Serviço</v>
      </c>
      <c r="O73" s="45" t="e">
        <f t="shared" ca="1" si="55"/>
        <v>#VALUE!</v>
      </c>
      <c r="P73" s="46" t="s">
        <v>62</v>
      </c>
      <c r="Q73" s="47" t="s">
        <v>123</v>
      </c>
      <c r="R73" s="48" t="s">
        <v>124</v>
      </c>
      <c r="S73" s="49" t="s">
        <v>78</v>
      </c>
      <c r="T73" s="50" t="e">
        <f ca="1">OFFSET([1]CÁLCULO!H$15,ROW($T73)-ROW(T$15),0)</f>
        <v>#VALUE!</v>
      </c>
      <c r="U73" s="51" t="e">
        <f t="shared" ca="1" si="58"/>
        <v>#VALUE!</v>
      </c>
      <c r="V73" s="52" t="s">
        <v>10</v>
      </c>
      <c r="W73" s="50" t="e">
        <f ca="1">IF($C73="S",ROUND(IF(TIPOORCAMENTO="Proposto",ORÇAMENTO.CustoUnitario*(1+$AH73),ORÇAMENTO.PrecoUnitarioLicitado),15-13*$AF$10),0)</f>
        <v>#VALUE!</v>
      </c>
      <c r="X73" s="53" t="e">
        <f t="shared" ca="1" si="42"/>
        <v>#VALUE!</v>
      </c>
      <c r="Y73" s="54" t="s">
        <v>63</v>
      </c>
      <c r="Z73" t="e">
        <f t="shared" ca="1" si="56"/>
        <v>#VALUE!</v>
      </c>
      <c r="AA73" s="55" t="e">
        <f ca="1">IF($C73="S",IF($Z73="CP",$X73,IF($Z73="RA",(($X73)*[1]QCI!$AA$3),0)),SomaAgrup)</f>
        <v>#VALUE!</v>
      </c>
      <c r="AB73" s="56" t="e">
        <f t="shared" ca="1" si="43"/>
        <v>#VALUE!</v>
      </c>
      <c r="AC73" s="57" t="e">
        <f ca="1">IF($N73="","",IF(ORÇAMENTO.Descricao="","DESCRIÇÃO",IF(AND($C73="S",ORÇAMENTO.Unidade=""),"UNIDADE",IF($X73&lt;0,"VALOR NEGATIVO",IF(OR(AND(TIPOORCAMENTO="Proposto",$AG73&lt;&gt;"",$AG73&gt;0,ORÇAMENTO.CustoUnitario&gt;$AG73),AND(TIPOORCAMENTO="LICITADO",ORÇAMENTO.PrecoUnitarioLicitado&gt;$AN73)),"ACIMA REF.","")))))</f>
        <v>#VALUE!</v>
      </c>
      <c r="AD73" t="str">
        <f ca="1">IF(C73&lt;=CRONO.NivelExibicao,MAX($AD$15:OFFSET(AD73,-1,0))+IF($C73&lt;&gt;1,1,MAX(1,COUNTIF([1]QCI!$A$13:$A$24,OFFSET($E73,-1,0)))),"")</f>
        <v/>
      </c>
      <c r="AE73" s="4" t="str">
        <f ca="1">IF(AND($C73="S",ORÇAMENTO.CodBarra&lt;&gt;""),IF(ORÇAMENTO.Fonte="",ORÇAMENTO.CodBarra,CONCATENATE(ORÇAMENTO.Fonte," ",ORÇAMENTO.CodBarra)))</f>
        <v>SINAPI 96995</v>
      </c>
      <c r="AF73" s="58" t="e">
        <f ca="1">IF(ISERROR(INDIRECT(ORÇAMENTO.BancoRef)),"(abra o arquivo 'Referência "&amp;Excel_BuiltIn_Database&amp;".xls)",IF(OR($C73&lt;&gt;"S",ORÇAMENTO.CodBarra=""),"(Sem Código)",IF(ISERROR(MATCH($AE73,INDIRECT(ORÇAMENTO.BancoRef),0)),"(Código não identificado nas referências)",MATCH($AE73,INDIRECT(ORÇAMENTO.BancoRef),0))))</f>
        <v>#VALUE!</v>
      </c>
      <c r="AG73" s="59" t="e">
        <f ca="1">ROUND(IF(DESONERACAO="sim",REFERENCIA.Desonerado,REFERENCIA.NaoDesonerado),2)</f>
        <v>#VALUE!</v>
      </c>
      <c r="AH73" s="60">
        <f t="shared" si="44"/>
        <v>0.2223</v>
      </c>
      <c r="AJ73" s="61">
        <v>97.76</v>
      </c>
      <c r="AL73" s="62"/>
      <c r="AM73" s="63" t="e">
        <f t="shared" ca="1" si="0"/>
        <v>#VALUE!</v>
      </c>
      <c r="AN73" s="64" t="e">
        <f t="shared" ca="1" si="45"/>
        <v>#VALUE!</v>
      </c>
    </row>
    <row r="74" spans="1:40" x14ac:dyDescent="0.2">
      <c r="A74">
        <f t="shared" si="41"/>
        <v>4</v>
      </c>
      <c r="B74">
        <f t="shared" ca="1" si="46"/>
        <v>4</v>
      </c>
      <c r="C74">
        <f t="shared" ca="1" si="47"/>
        <v>4</v>
      </c>
      <c r="D74">
        <f t="shared" ca="1" si="48"/>
        <v>3</v>
      </c>
      <c r="E74" t="e">
        <f ca="1">IF($C74=1,OFFSET(E74,-1,0)+MAX(1,COUNTIF([1]QCI!$A$13:$A$24,OFFSET(ORÇAMENTO!E74,-1,0))),OFFSET(E74,-1,0))</f>
        <v>#VALUE!</v>
      </c>
      <c r="F74">
        <f t="shared" ca="1" si="49"/>
        <v>2</v>
      </c>
      <c r="G74">
        <f t="shared" ca="1" si="50"/>
        <v>5</v>
      </c>
      <c r="H74">
        <f t="shared" ca="1" si="51"/>
        <v>3</v>
      </c>
      <c r="I74">
        <f t="shared" ca="1" si="52"/>
        <v>0</v>
      </c>
      <c r="J74">
        <f t="shared" ca="1" si="9"/>
        <v>11</v>
      </c>
      <c r="K74">
        <f ca="1">IF(OR($C74="S",$C74=0),0,MATCH(OFFSET($D74,0,$C74)+IF($C74&lt;&gt;1,1,COUNTIF([1]QCI!$A$13:$A$24,ORÇAMENTO!E74)),OFFSET($D74,1,$C74,ROW($C$145)-ROW($C74)),0))</f>
        <v>3</v>
      </c>
      <c r="L74" s="42" t="e">
        <f t="shared" ca="1" si="53"/>
        <v>#VALUE!</v>
      </c>
      <c r="M74" s="43" t="s">
        <v>6</v>
      </c>
      <c r="N74" s="44" t="str">
        <f t="shared" ca="1" si="54"/>
        <v>Nível 4</v>
      </c>
      <c r="O74" s="45" t="e">
        <f t="shared" ca="1" si="55"/>
        <v>#VALUE!</v>
      </c>
      <c r="P74" s="46" t="s">
        <v>62</v>
      </c>
      <c r="Q74" s="47"/>
      <c r="R74" s="48" t="s">
        <v>154</v>
      </c>
      <c r="S74" s="49" t="s">
        <v>67</v>
      </c>
      <c r="T74" s="50" t="e">
        <f ca="1">OFFSET([1]CÁLCULO!H$15,ROW($T74)-ROW(T$15),0)</f>
        <v>#VALUE!</v>
      </c>
      <c r="U74" s="51"/>
      <c r="V74" s="52" t="s">
        <v>10</v>
      </c>
      <c r="W74" s="50">
        <f ca="1">IF($C74="S",ROUND(IF(TIPOORCAMENTO="Proposto",ORÇAMENTO.CustoUnitario*(1+$AH74),ORÇAMENTO.PrecoUnitarioLicitado),15-13*$AF$10),0)</f>
        <v>0</v>
      </c>
      <c r="X74" s="53" t="e">
        <f t="shared" ca="1" si="42"/>
        <v>#VALUE!</v>
      </c>
      <c r="Y74" s="54" t="s">
        <v>63</v>
      </c>
      <c r="Z74" t="e">
        <f t="shared" ca="1" si="56"/>
        <v>#VALUE!</v>
      </c>
      <c r="AA74" s="55" t="e">
        <f ca="1">IF($C74="S",IF($Z74="CP",$X74,IF($Z74="RA",(($X74)*[1]QCI!$AA$3),0)),SomaAgrup)</f>
        <v>#VALUE!</v>
      </c>
      <c r="AB74" s="56" t="e">
        <f t="shared" ca="1" si="43"/>
        <v>#VALUE!</v>
      </c>
      <c r="AC74" s="57" t="e">
        <f ca="1">IF($N74="","",IF(ORÇAMENTO.Descricao="","DESCRIÇÃO",IF(AND($C74="S",ORÇAMENTO.Unidade=""),"UNIDADE",IF($X74&lt;0,"VALOR NEGATIVO",IF(OR(AND(TIPOORCAMENTO="Proposto",$AG74&lt;&gt;"",$AG74&gt;0,ORÇAMENTO.CustoUnitario&gt;$AG74),AND(TIPOORCAMENTO="LICITADO",ORÇAMENTO.PrecoUnitarioLicitado&gt;$AN74)),"ACIMA REF.","")))))</f>
        <v>#VALUE!</v>
      </c>
      <c r="AD74" t="str">
        <f ca="1">IF(C74&lt;=CRONO.NivelExibicao,MAX($AD$15:OFFSET(AD74,-1,0))+IF($C74&lt;&gt;1,1,MAX(1,COUNTIF([1]QCI!$A$13:$A$24,OFFSET($E74,-1,0)))),"")</f>
        <v/>
      </c>
      <c r="AE74" s="4" t="b">
        <f ca="1">IF(AND($C74="S",ORÇAMENTO.CodBarra&lt;&gt;""),IF(ORÇAMENTO.Fonte="",ORÇAMENTO.CodBarra,CONCATENATE(ORÇAMENTO.Fonte," ",ORÇAMENTO.CodBarra)))</f>
        <v>0</v>
      </c>
      <c r="AF74" s="58" t="e">
        <f ca="1">IF(ISERROR(INDIRECT(ORÇAMENTO.BancoRef)),"(abra o arquivo 'Referência "&amp;Excel_BuiltIn_Database&amp;".xls)",IF(OR($C74&lt;&gt;"S",ORÇAMENTO.CodBarra=""),"(Sem Código)",IF(ISERROR(MATCH($AE74,INDIRECT(ORÇAMENTO.BancoRef),0)),"(Código não identificado nas referências)",MATCH($AE74,INDIRECT(ORÇAMENTO.BancoRef),0))))</f>
        <v>#VALUE!</v>
      </c>
      <c r="AG74" s="59" t="e">
        <f ca="1">ROUND(IF(DESONERACAO="sim",REFERENCIA.Desonerado,REFERENCIA.NaoDesonerado),2)</f>
        <v>#VALUE!</v>
      </c>
      <c r="AH74" s="60">
        <f t="shared" si="44"/>
        <v>0.2223</v>
      </c>
      <c r="AJ74" s="61"/>
      <c r="AL74" s="62"/>
      <c r="AM74" s="63" t="e">
        <f t="shared" ca="1" si="0"/>
        <v>#VALUE!</v>
      </c>
      <c r="AN74" s="64">
        <f t="shared" si="45"/>
        <v>0</v>
      </c>
    </row>
    <row r="75" spans="1:40" ht="38.25" x14ac:dyDescent="0.2">
      <c r="A75" t="str">
        <f t="shared" si="41"/>
        <v>S</v>
      </c>
      <c r="B75">
        <f t="shared" ca="1" si="46"/>
        <v>4</v>
      </c>
      <c r="C75" t="str">
        <f t="shared" ca="1" si="47"/>
        <v>S</v>
      </c>
      <c r="D75">
        <f t="shared" ca="1" si="48"/>
        <v>0</v>
      </c>
      <c r="E75" t="e">
        <f ca="1">IF($C75=1,OFFSET(E75,-1,0)+MAX(1,COUNTIF([1]QCI!$A$13:$A$24,OFFSET(ORÇAMENTO!E75,-1,0))),OFFSET(E75,-1,0))</f>
        <v>#VALUE!</v>
      </c>
      <c r="F75">
        <f t="shared" ca="1" si="49"/>
        <v>2</v>
      </c>
      <c r="G75">
        <f t="shared" ca="1" si="50"/>
        <v>5</v>
      </c>
      <c r="H75">
        <f t="shared" ca="1" si="51"/>
        <v>3</v>
      </c>
      <c r="I75" t="e">
        <f t="shared" ca="1" si="52"/>
        <v>#VALUE!</v>
      </c>
      <c r="J75">
        <f t="shared" ca="1" si="9"/>
        <v>0</v>
      </c>
      <c r="K75">
        <f ca="1">IF(OR($C75="S",$C75=0),0,MATCH(OFFSET($D75,0,$C75)+IF($C75&lt;&gt;1,1,COUNTIF([1]QCI!$A$13:$A$24,ORÇAMENTO!E75)),OFFSET($D75,1,$C75,ROW($C$145)-ROW($C75)),0))</f>
        <v>0</v>
      </c>
      <c r="L75" s="42" t="e">
        <f t="shared" ca="1" si="53"/>
        <v>#VALUE!</v>
      </c>
      <c r="M75" s="43" t="s">
        <v>7</v>
      </c>
      <c r="N75" s="44" t="str">
        <f t="shared" ca="1" si="54"/>
        <v>Serviço</v>
      </c>
      <c r="O75" s="45" t="e">
        <f t="shared" ca="1" si="55"/>
        <v>#VALUE!</v>
      </c>
      <c r="P75" s="46" t="s">
        <v>62</v>
      </c>
      <c r="Q75" s="47" t="s">
        <v>98</v>
      </c>
      <c r="R75" s="48" t="s">
        <v>99</v>
      </c>
      <c r="S75" s="49" t="s">
        <v>75</v>
      </c>
      <c r="T75" s="50" t="e">
        <f ca="1">OFFSET([1]CÁLCULO!H$15,ROW($T75)-ROW(T$15),0)</f>
        <v>#VALUE!</v>
      </c>
      <c r="U75" s="51" t="e">
        <f t="shared" ca="1" si="58"/>
        <v>#VALUE!</v>
      </c>
      <c r="V75" s="52" t="s">
        <v>10</v>
      </c>
      <c r="W75" s="50" t="e">
        <f ca="1">IF($C75="S",ROUND(IF(TIPOORCAMENTO="Proposto",ORÇAMENTO.CustoUnitario*(1+$AH75),ORÇAMENTO.PrecoUnitarioLicitado),15-13*$AF$10),0)</f>
        <v>#VALUE!</v>
      </c>
      <c r="X75" s="53" t="e">
        <f t="shared" ca="1" si="42"/>
        <v>#VALUE!</v>
      </c>
      <c r="Y75" s="54" t="s">
        <v>63</v>
      </c>
      <c r="Z75" t="e">
        <f t="shared" ca="1" si="56"/>
        <v>#VALUE!</v>
      </c>
      <c r="AA75" s="55" t="e">
        <f ca="1">IF($C75="S",IF($Z75="CP",$X75,IF($Z75="RA",(($X75)*[1]QCI!$AA$3),0)),SomaAgrup)</f>
        <v>#VALUE!</v>
      </c>
      <c r="AB75" s="56" t="e">
        <f t="shared" ca="1" si="43"/>
        <v>#VALUE!</v>
      </c>
      <c r="AC75" s="57" t="e">
        <f ca="1">IF($N75="","",IF(ORÇAMENTO.Descricao="","DESCRIÇÃO",IF(AND($C75="S",ORÇAMENTO.Unidade=""),"UNIDADE",IF($X75&lt;0,"VALOR NEGATIVO",IF(OR(AND(TIPOORCAMENTO="Proposto",$AG75&lt;&gt;"",$AG75&gt;0,ORÇAMENTO.CustoUnitario&gt;$AG75),AND(TIPOORCAMENTO="LICITADO",ORÇAMENTO.PrecoUnitarioLicitado&gt;$AN75)),"ACIMA REF.","")))))</f>
        <v>#VALUE!</v>
      </c>
      <c r="AD75" t="str">
        <f ca="1">IF(C75&lt;=CRONO.NivelExibicao,MAX($AD$15:OFFSET(AD75,-1,0))+IF($C75&lt;&gt;1,1,MAX(1,COUNTIF([1]QCI!$A$13:$A$24,OFFSET($E75,-1,0)))),"")</f>
        <v/>
      </c>
      <c r="AE75" s="4" t="str">
        <f ca="1">IF(AND($C75="S",ORÇAMENTO.CodBarra&lt;&gt;""),IF(ORÇAMENTO.Fonte="",ORÇAMENTO.CodBarra,CONCATENATE(ORÇAMENTO.Fonte," ",ORÇAMENTO.CodBarra)))</f>
        <v>SINAPI 103319</v>
      </c>
      <c r="AF75" s="58" t="e">
        <f ca="1">IF(ISERROR(INDIRECT(ORÇAMENTO.BancoRef)),"(abra o arquivo 'Referência "&amp;Excel_BuiltIn_Database&amp;".xls)",IF(OR($C75&lt;&gt;"S",ORÇAMENTO.CodBarra=""),"(Sem Código)",IF(ISERROR(MATCH($AE75,INDIRECT(ORÇAMENTO.BancoRef),0)),"(Código não identificado nas referências)",MATCH($AE75,INDIRECT(ORÇAMENTO.BancoRef),0))))</f>
        <v>#VALUE!</v>
      </c>
      <c r="AG75" s="59" t="e">
        <f ca="1">ROUND(IF(DESONERACAO="sim",REFERENCIA.Desonerado,REFERENCIA.NaoDesonerado),2)</f>
        <v>#VALUE!</v>
      </c>
      <c r="AH75" s="60">
        <f t="shared" si="44"/>
        <v>0.2223</v>
      </c>
      <c r="AJ75" s="61">
        <v>148.28</v>
      </c>
      <c r="AL75" s="62"/>
      <c r="AM75" s="63" t="e">
        <f t="shared" ca="1" si="0"/>
        <v>#VALUE!</v>
      </c>
      <c r="AN75" s="64" t="e">
        <f t="shared" ca="1" si="45"/>
        <v>#VALUE!</v>
      </c>
    </row>
    <row r="76" spans="1:40" ht="63.75" x14ac:dyDescent="0.2">
      <c r="A76" t="str">
        <f>CHOOSE(1+LOG(1+2*(ORÇAMENTO.Nivel="Meta")+4*(ORÇAMENTO.Nivel="Nível 2")+8*(ORÇAMENTO.Nivel="Nível 3")+16*(ORÇAMENTO.Nivel="Nível 4")+32*(ORÇAMENTO.Nivel="Serviço"),2),0,1,2,3,4,"S")</f>
        <v>S</v>
      </c>
      <c r="B76">
        <f ca="1">IF(OR(C76="s",C76=0),OFFSET(B76,-1,0),C76)</f>
        <v>4</v>
      </c>
      <c r="C76" t="str">
        <f ca="1">IF(OFFSET(C76,-1,0)="L",1,IF(OFFSET(C76,-1,0)=1,2,IF(OR(A76="s",A76=0),"S",IF(AND(OFFSET(C76,-1,0)=2,A76=4),3,IF(AND(OR(OFFSET(C76,-1,0)="s",OFFSET(C76,-1,0)=0),A76&lt;&gt;"s",A76&gt;OFFSET(B76,-1,0)),OFFSET(B76,-1,0),A76)))))</f>
        <v>S</v>
      </c>
      <c r="D76">
        <f ca="1">IF(OR(C76="S",C76=0),0,IF(ISERROR(K76),J76,SMALL(J76:K76,1)))</f>
        <v>0</v>
      </c>
      <c r="E76" t="e">
        <f ca="1">IF($C76=1,OFFSET(E76,-1,0)+MAX(1,COUNTIF([1]QCI!$A$13:$A$24,OFFSET(ORÇAMENTO!E76,-1,0))),OFFSET(E76,-1,0))</f>
        <v>#VALUE!</v>
      </c>
      <c r="F76">
        <f ca="1">IF($C76=1,0,IF($C76=2,OFFSET(F76,-1,0)+1,OFFSET(F76,-1,0)))</f>
        <v>2</v>
      </c>
      <c r="G76">
        <f ca="1">IF(AND($C76&lt;=2,$C76&lt;&gt;0),0,IF($C76=3,OFFSET(G76,-1,0)+1,OFFSET(G76,-1,0)))</f>
        <v>5</v>
      </c>
      <c r="H76">
        <f ca="1">IF(AND($C76&lt;=3,$C76&lt;&gt;0),0,IF($C76=4,OFFSET(H76,-1,0)+1,OFFSET(H76,-1,0)))</f>
        <v>3</v>
      </c>
      <c r="I76" t="e">
        <f ca="1">IF(AND($C76&lt;=4,$C76&lt;&gt;0),0,IF(AND($C76="S",$X76&gt;0),OFFSET(I76,-1,0)+1,OFFSET(I76,-1,0)))</f>
        <v>#VALUE!</v>
      </c>
      <c r="J76">
        <f t="shared" ca="1" si="9"/>
        <v>0</v>
      </c>
      <c r="K76">
        <f ca="1">IF(OR($C76="S",$C76=0),0,MATCH(OFFSET($D76,0,$C76)+IF($C76&lt;&gt;1,1,COUNTIF([1]QCI!$A$13:$A$24,ORÇAMENTO!E76)),OFFSET($D76,1,$C76,ROW($C$145)-ROW($C76)),0))</f>
        <v>0</v>
      </c>
      <c r="L76" s="42" t="e">
        <f ca="1">IF(OR($X76&gt;0,$C76=1,$C76=2,$C76=3,$C76=4),"F","")</f>
        <v>#VALUE!</v>
      </c>
      <c r="M76" s="43" t="s">
        <v>7</v>
      </c>
      <c r="N76" s="44" t="str">
        <f ca="1">CHOOSE(1+LOG(1+2*(C76=1)+4*(C76=2)+8*(C76=3)+16*(C76=4)+32*(C76="S"),2),"","Meta","Nível 2","Nível 3","Nível 4","Serviço")</f>
        <v>Serviço</v>
      </c>
      <c r="O76" s="45" t="e">
        <f ca="1">IF(OR($C76=0,$L76=""),"-",CONCATENATE(E76&amp;".",IF(AND($A$5&gt;=2,$C76&gt;=2),F76&amp;".",""),IF(AND($A$5&gt;=3,$C76&gt;=3),G76&amp;".",""),IF(AND($A$5&gt;=4,$C76&gt;=4),H76&amp;".",""),IF($C76="S",I76&amp;".","")))</f>
        <v>#VALUE!</v>
      </c>
      <c r="P76" s="46" t="s">
        <v>62</v>
      </c>
      <c r="Q76" s="47" t="s">
        <v>155</v>
      </c>
      <c r="R76" s="48" t="s">
        <v>156</v>
      </c>
      <c r="S76" s="49" t="s">
        <v>75</v>
      </c>
      <c r="T76" s="50" t="e">
        <f ca="1">OFFSET([1]CÁLCULO!H$15,ROW($T76)-ROW(T$15),0)</f>
        <v>#VALUE!</v>
      </c>
      <c r="U76" s="51" t="e">
        <f ca="1">AG76</f>
        <v>#VALUE!</v>
      </c>
      <c r="V76" s="52" t="s">
        <v>10</v>
      </c>
      <c r="W76" s="50" t="e">
        <f ca="1">IF($C76="S",ROUND(IF(TIPOORCAMENTO="Proposto",ORÇAMENTO.CustoUnitario*(1+$AH76),ORÇAMENTO.PrecoUnitarioLicitado),15-13*$AF$10),0)</f>
        <v>#VALUE!</v>
      </c>
      <c r="X76" s="53" t="e">
        <f ca="1">IF($C76="S",VTOTAL1,IF($C76=0,0,ROUND(SomaAgrup,15-13*$AF$11)))</f>
        <v>#VALUE!</v>
      </c>
      <c r="Y76" s="54" t="s">
        <v>63</v>
      </c>
      <c r="Z76" t="e">
        <f ca="1">IF(AND($C76="S",$X76&gt;0),IF(ISBLANK($Y76),"RA",LEFT($Y76,2)),"")</f>
        <v>#VALUE!</v>
      </c>
      <c r="AA76" s="55" t="e">
        <f ca="1">IF($C76="S",IF($Z76="CP",$X76,IF($Z76="RA",(($X76)*[1]QCI!$AA$3),0)),SomaAgrup)</f>
        <v>#VALUE!</v>
      </c>
      <c r="AB76" s="56" t="e">
        <f ca="1">IF($C76="S",IF($Z76="OU",ROUND($X76,2),0),SomaAgrup)</f>
        <v>#VALUE!</v>
      </c>
      <c r="AC76" s="57" t="e">
        <f ca="1">IF($N76="","",IF(ORÇAMENTO.Descricao="","DESCRIÇÃO",IF(AND($C76="S",ORÇAMENTO.Unidade=""),"UNIDADE",IF($X76&lt;0,"VALOR NEGATIVO",IF(OR(AND(TIPOORCAMENTO="Proposto",$AG76&lt;&gt;"",$AG76&gt;0,ORÇAMENTO.CustoUnitario&gt;$AG76),AND(TIPOORCAMENTO="LICITADO",ORÇAMENTO.PrecoUnitarioLicitado&gt;$AN76)),"ACIMA REF.","")))))</f>
        <v>#VALUE!</v>
      </c>
      <c r="AD76" t="str">
        <f ca="1">IF(C76&lt;=CRONO.NivelExibicao,MAX($AD$15:OFFSET(AD76,-1,0))+IF($C76&lt;&gt;1,1,MAX(1,COUNTIF([1]QCI!$A$13:$A$24,OFFSET($E76,-1,0)))),"")</f>
        <v/>
      </c>
      <c r="AE76" s="4" t="str">
        <f ca="1">IF(AND($C76="S",ORÇAMENTO.CodBarra&lt;&gt;""),IF(ORÇAMENTO.Fonte="",ORÇAMENTO.CodBarra,CONCATENATE(ORÇAMENTO.Fonte," ",ORÇAMENTO.CodBarra)))</f>
        <v>SINAPI 102364</v>
      </c>
      <c r="AF76" s="58" t="e">
        <f ca="1">IF(ISERROR(INDIRECT(ORÇAMENTO.BancoRef)),"(abra o arquivo 'Referência "&amp;Excel_BuiltIn_Database&amp;".xls)",IF(OR($C76&lt;&gt;"S",ORÇAMENTO.CodBarra=""),"(Sem Código)",IF(ISERROR(MATCH($AE76,INDIRECT(ORÇAMENTO.BancoRef),0)),"(Código não identificado nas referências)",MATCH($AE76,INDIRECT(ORÇAMENTO.BancoRef),0))))</f>
        <v>#VALUE!</v>
      </c>
      <c r="AG76" s="59" t="e">
        <f ca="1">ROUND(IF(DESONERACAO="sim",REFERENCIA.Desonerado,REFERENCIA.NaoDesonerado),2)</f>
        <v>#VALUE!</v>
      </c>
      <c r="AH76" s="60">
        <f>ROUND(IF(ISNUMBER(ORÇAMENTO.OpcaoBDI),ORÇAMENTO.OpcaoBDI,IF(LEFT(ORÇAMENTO.OpcaoBDI,3)="BDI",HLOOKUP(ORÇAMENTO.OpcaoBDI,$F$4:$H$5,2,FALSE),0)),15-11*$AF$9)</f>
        <v>0.2223</v>
      </c>
      <c r="AJ76" s="61">
        <v>57.83</v>
      </c>
      <c r="AL76" s="62"/>
      <c r="AM76" s="63" t="e">
        <f t="shared" ca="1" si="0"/>
        <v>#VALUE!</v>
      </c>
      <c r="AN76" s="64" t="e">
        <f ca="1">ROUND(ORÇAMENTO.CustoUnitario*(1+$AH76),2)</f>
        <v>#VALUE!</v>
      </c>
    </row>
    <row r="77" spans="1:40" x14ac:dyDescent="0.2">
      <c r="A77">
        <f t="shared" si="41"/>
        <v>4</v>
      </c>
      <c r="B77">
        <f t="shared" ca="1" si="46"/>
        <v>4</v>
      </c>
      <c r="C77">
        <f t="shared" ca="1" si="47"/>
        <v>4</v>
      </c>
      <c r="D77">
        <f t="shared" ca="1" si="48"/>
        <v>3</v>
      </c>
      <c r="E77" t="e">
        <f ca="1">IF($C77=1,OFFSET(E77,-1,0)+MAX(1,COUNTIF([1]QCI!$A$13:$A$24,OFFSET(ORÇAMENTO!E77,-1,0))),OFFSET(E77,-1,0))</f>
        <v>#VALUE!</v>
      </c>
      <c r="F77">
        <f t="shared" ca="1" si="49"/>
        <v>2</v>
      </c>
      <c r="G77">
        <f t="shared" ca="1" si="50"/>
        <v>5</v>
      </c>
      <c r="H77">
        <f t="shared" ca="1" si="51"/>
        <v>4</v>
      </c>
      <c r="I77">
        <f t="shared" ca="1" si="52"/>
        <v>0</v>
      </c>
      <c r="J77">
        <f t="shared" ca="1" si="9"/>
        <v>8</v>
      </c>
      <c r="K77">
        <f ca="1">IF(OR($C77="S",$C77=0),0,MATCH(OFFSET($D77,0,$C77)+IF($C77&lt;&gt;1,1,COUNTIF([1]QCI!$A$13:$A$24,ORÇAMENTO!E77)),OFFSET($D77,1,$C77,ROW($C$145)-ROW($C77)),0))</f>
        <v>3</v>
      </c>
      <c r="L77" s="42" t="e">
        <f t="shared" ca="1" si="53"/>
        <v>#VALUE!</v>
      </c>
      <c r="M77" s="43" t="s">
        <v>6</v>
      </c>
      <c r="N77" s="44" t="str">
        <f t="shared" ca="1" si="54"/>
        <v>Nível 4</v>
      </c>
      <c r="O77" s="45" t="e">
        <f t="shared" ca="1" si="55"/>
        <v>#VALUE!</v>
      </c>
      <c r="P77" s="46" t="s">
        <v>62</v>
      </c>
      <c r="Q77" s="47"/>
      <c r="R77" s="48" t="s">
        <v>157</v>
      </c>
      <c r="S77" s="49" t="s">
        <v>67</v>
      </c>
      <c r="T77" s="50" t="e">
        <f ca="1">OFFSET([1]CÁLCULO!H$15,ROW($T77)-ROW(T$15),0)</f>
        <v>#VALUE!</v>
      </c>
      <c r="U77" s="51"/>
      <c r="V77" s="52" t="s">
        <v>10</v>
      </c>
      <c r="W77" s="50">
        <f ca="1">IF($C77="S",ROUND(IF(TIPOORCAMENTO="Proposto",ORÇAMENTO.CustoUnitario*(1+$AH77),ORÇAMENTO.PrecoUnitarioLicitado),15-13*$AF$10),0)</f>
        <v>0</v>
      </c>
      <c r="X77" s="53" t="e">
        <f t="shared" ca="1" si="42"/>
        <v>#VALUE!</v>
      </c>
      <c r="Y77" s="54" t="s">
        <v>63</v>
      </c>
      <c r="Z77" t="e">
        <f t="shared" ca="1" si="56"/>
        <v>#VALUE!</v>
      </c>
      <c r="AA77" s="55" t="e">
        <f ca="1">IF($C77="S",IF($Z77="CP",$X77,IF($Z77="RA",(($X77)*[1]QCI!$AA$3),0)),SomaAgrup)</f>
        <v>#VALUE!</v>
      </c>
      <c r="AB77" s="56" t="e">
        <f t="shared" ca="1" si="43"/>
        <v>#VALUE!</v>
      </c>
      <c r="AC77" s="57" t="e">
        <f ca="1">IF($N77="","",IF(ORÇAMENTO.Descricao="","DESCRIÇÃO",IF(AND($C77="S",ORÇAMENTO.Unidade=""),"UNIDADE",IF($X77&lt;0,"VALOR NEGATIVO",IF(OR(AND(TIPOORCAMENTO="Proposto",$AG77&lt;&gt;"",$AG77&gt;0,ORÇAMENTO.CustoUnitario&gt;$AG77),AND(TIPOORCAMENTO="LICITADO",ORÇAMENTO.PrecoUnitarioLicitado&gt;$AN77)),"ACIMA REF.","")))))</f>
        <v>#VALUE!</v>
      </c>
      <c r="AD77" t="str">
        <f ca="1">IF(C77&lt;=CRONO.NivelExibicao,MAX($AD$15:OFFSET(AD77,-1,0))+IF($C77&lt;&gt;1,1,MAX(1,COUNTIF([1]QCI!$A$13:$A$24,OFFSET($E77,-1,0)))),"")</f>
        <v/>
      </c>
      <c r="AE77" s="4" t="b">
        <f ca="1">IF(AND($C77="S",ORÇAMENTO.CodBarra&lt;&gt;""),IF(ORÇAMENTO.Fonte="",ORÇAMENTO.CodBarra,CONCATENATE(ORÇAMENTO.Fonte," ",ORÇAMENTO.CodBarra)))</f>
        <v>0</v>
      </c>
      <c r="AF77" s="58" t="e">
        <f ca="1">IF(ISERROR(INDIRECT(ORÇAMENTO.BancoRef)),"(abra o arquivo 'Referência "&amp;Excel_BuiltIn_Database&amp;".xls)",IF(OR($C77&lt;&gt;"S",ORÇAMENTO.CodBarra=""),"(Sem Código)",IF(ISERROR(MATCH($AE77,INDIRECT(ORÇAMENTO.BancoRef),0)),"(Código não identificado nas referências)",MATCH($AE77,INDIRECT(ORÇAMENTO.BancoRef),0))))</f>
        <v>#VALUE!</v>
      </c>
      <c r="AG77" s="59" t="e">
        <f ca="1">ROUND(IF(DESONERACAO="sim",REFERENCIA.Desonerado,REFERENCIA.NaoDesonerado),2)</f>
        <v>#VALUE!</v>
      </c>
      <c r="AH77" s="60">
        <f t="shared" si="44"/>
        <v>0.2223</v>
      </c>
      <c r="AJ77" s="61"/>
      <c r="AL77" s="62"/>
      <c r="AM77" s="63" t="e">
        <f t="shared" ca="1" si="0"/>
        <v>#VALUE!</v>
      </c>
      <c r="AN77" s="64">
        <f t="shared" si="45"/>
        <v>0</v>
      </c>
    </row>
    <row r="78" spans="1:40" ht="38.25" x14ac:dyDescent="0.2">
      <c r="A78" t="str">
        <f t="shared" si="41"/>
        <v>S</v>
      </c>
      <c r="B78">
        <f t="shared" ca="1" si="46"/>
        <v>4</v>
      </c>
      <c r="C78" t="str">
        <f t="shared" ca="1" si="47"/>
        <v>S</v>
      </c>
      <c r="D78">
        <f t="shared" ca="1" si="48"/>
        <v>0</v>
      </c>
      <c r="E78" t="e">
        <f ca="1">IF($C78=1,OFFSET(E78,-1,0)+MAX(1,COUNTIF([1]QCI!$A$13:$A$24,OFFSET(ORÇAMENTO!E78,-1,0))),OFFSET(E78,-1,0))</f>
        <v>#VALUE!</v>
      </c>
      <c r="F78">
        <f t="shared" ca="1" si="49"/>
        <v>2</v>
      </c>
      <c r="G78">
        <f t="shared" ca="1" si="50"/>
        <v>5</v>
      </c>
      <c r="H78">
        <f t="shared" ca="1" si="51"/>
        <v>4</v>
      </c>
      <c r="I78" t="e">
        <f t="shared" ca="1" si="52"/>
        <v>#VALUE!</v>
      </c>
      <c r="J78">
        <f t="shared" ca="1" si="9"/>
        <v>0</v>
      </c>
      <c r="K78">
        <f ca="1">IF(OR($C78="S",$C78=0),0,MATCH(OFFSET($D78,0,$C78)+IF($C78&lt;&gt;1,1,COUNTIF([1]QCI!$A$13:$A$24,ORÇAMENTO!E78)),OFFSET($D78,1,$C78,ROW($C$145)-ROW($C78)),0))</f>
        <v>0</v>
      </c>
      <c r="L78" s="42" t="e">
        <f t="shared" ca="1" si="53"/>
        <v>#VALUE!</v>
      </c>
      <c r="M78" s="43" t="s">
        <v>7</v>
      </c>
      <c r="N78" s="44" t="str">
        <f t="shared" ca="1" si="54"/>
        <v>Serviço</v>
      </c>
      <c r="O78" s="45" t="e">
        <f t="shared" ca="1" si="55"/>
        <v>#VALUE!</v>
      </c>
      <c r="P78" s="46" t="s">
        <v>62</v>
      </c>
      <c r="Q78" s="47" t="s">
        <v>158</v>
      </c>
      <c r="R78" s="48" t="s">
        <v>159</v>
      </c>
      <c r="S78" s="49" t="s">
        <v>78</v>
      </c>
      <c r="T78" s="50" t="e">
        <f ca="1">OFFSET([1]CÁLCULO!H$15,ROW($T78)-ROW(T$15),0)</f>
        <v>#VALUE!</v>
      </c>
      <c r="U78" s="51" t="e">
        <f t="shared" ca="1" si="58"/>
        <v>#VALUE!</v>
      </c>
      <c r="V78" s="52" t="s">
        <v>10</v>
      </c>
      <c r="W78" s="50" t="e">
        <f ca="1">IF($C78="S",ROUND(IF(TIPOORCAMENTO="Proposto",ORÇAMENTO.CustoUnitario*(1+$AH78),ORÇAMENTO.PrecoUnitarioLicitado),15-13*$AF$10),0)</f>
        <v>#VALUE!</v>
      </c>
      <c r="X78" s="53" t="e">
        <f t="shared" ca="1" si="42"/>
        <v>#VALUE!</v>
      </c>
      <c r="Y78" s="54" t="s">
        <v>63</v>
      </c>
      <c r="Z78" t="e">
        <f t="shared" ca="1" si="56"/>
        <v>#VALUE!</v>
      </c>
      <c r="AA78" s="55" t="e">
        <f ca="1">IF($C78="S",IF($Z78="CP",$X78,IF($Z78="RA",(($X78)*[1]QCI!$AA$3),0)),SomaAgrup)</f>
        <v>#VALUE!</v>
      </c>
      <c r="AB78" s="56" t="e">
        <f t="shared" ca="1" si="43"/>
        <v>#VALUE!</v>
      </c>
      <c r="AC78" s="57" t="e">
        <f ca="1">IF($N78="","",IF(ORÇAMENTO.Descricao="","DESCRIÇÃO",IF(AND($C78="S",ORÇAMENTO.Unidade=""),"UNIDADE",IF($X78&lt;0,"VALOR NEGATIVO",IF(OR(AND(TIPOORCAMENTO="Proposto",$AG78&lt;&gt;"",$AG78&gt;0,ORÇAMENTO.CustoUnitario&gt;$AG78),AND(TIPOORCAMENTO="LICITADO",ORÇAMENTO.PrecoUnitarioLicitado&gt;$AN78)),"ACIMA REF.","")))))</f>
        <v>#VALUE!</v>
      </c>
      <c r="AD78" t="str">
        <f ca="1">IF(C78&lt;=CRONO.NivelExibicao,MAX($AD$15:OFFSET(AD78,-1,0))+IF($C78&lt;&gt;1,1,MAX(1,COUNTIF([1]QCI!$A$13:$A$24,OFFSET($E78,-1,0)))),"")</f>
        <v/>
      </c>
      <c r="AE78" s="4" t="str">
        <f ca="1">IF(AND($C78="S",ORÇAMENTO.CodBarra&lt;&gt;""),IF(ORÇAMENTO.Fonte="",ORÇAMENTO.CodBarra,CONCATENATE(ORÇAMENTO.Fonte," ",ORÇAMENTO.CodBarra)))</f>
        <v>SINAPI 100324</v>
      </c>
      <c r="AF78" s="58" t="e">
        <f ca="1">IF(ISERROR(INDIRECT(ORÇAMENTO.BancoRef)),"(abra o arquivo 'Referência "&amp;Excel_BuiltIn_Database&amp;".xls)",IF(OR($C78&lt;&gt;"S",ORÇAMENTO.CodBarra=""),"(Sem Código)",IF(ISERROR(MATCH($AE78,INDIRECT(ORÇAMENTO.BancoRef),0)),"(Código não identificado nas referências)",MATCH($AE78,INDIRECT(ORÇAMENTO.BancoRef),0))))</f>
        <v>#VALUE!</v>
      </c>
      <c r="AG78" s="59" t="e">
        <f ca="1">ROUND(IF(DESONERACAO="sim",REFERENCIA.Desonerado,REFERENCIA.NaoDesonerado),2)</f>
        <v>#VALUE!</v>
      </c>
      <c r="AH78" s="60">
        <f t="shared" si="44"/>
        <v>0.2223</v>
      </c>
      <c r="AJ78" s="61">
        <v>5.13</v>
      </c>
      <c r="AL78" s="62"/>
      <c r="AM78" s="63" t="e">
        <f t="shared" ca="1" si="0"/>
        <v>#VALUE!</v>
      </c>
      <c r="AN78" s="64" t="e">
        <f t="shared" ca="1" si="45"/>
        <v>#VALUE!</v>
      </c>
    </row>
    <row r="79" spans="1:40" ht="38.25" x14ac:dyDescent="0.2">
      <c r="A79" t="str">
        <f t="shared" si="41"/>
        <v>S</v>
      </c>
      <c r="B79">
        <f t="shared" ca="1" si="46"/>
        <v>4</v>
      </c>
      <c r="C79" t="str">
        <f t="shared" ca="1" si="47"/>
        <v>S</v>
      </c>
      <c r="D79">
        <f t="shared" ca="1" si="48"/>
        <v>0</v>
      </c>
      <c r="E79" t="e">
        <f ca="1">IF($C79=1,OFFSET(E79,-1,0)+MAX(1,COUNTIF([1]QCI!$A$13:$A$24,OFFSET(ORÇAMENTO!E79,-1,0))),OFFSET(E79,-1,0))</f>
        <v>#VALUE!</v>
      </c>
      <c r="F79">
        <f t="shared" ca="1" si="49"/>
        <v>2</v>
      </c>
      <c r="G79">
        <f t="shared" ca="1" si="50"/>
        <v>5</v>
      </c>
      <c r="H79">
        <f t="shared" ca="1" si="51"/>
        <v>4</v>
      </c>
      <c r="I79" t="e">
        <f t="shared" ca="1" si="52"/>
        <v>#VALUE!</v>
      </c>
      <c r="J79">
        <f t="shared" ca="1" si="9"/>
        <v>0</v>
      </c>
      <c r="K79">
        <f ca="1">IF(OR($C79="S",$C79=0),0,MATCH(OFFSET($D79,0,$C79)+IF($C79&lt;&gt;1,1,COUNTIF([1]QCI!$A$13:$A$24,ORÇAMENTO!E79)),OFFSET($D79,1,$C79,ROW($C$145)-ROW($C79)),0))</f>
        <v>0</v>
      </c>
      <c r="L79" s="42" t="e">
        <f t="shared" ca="1" si="53"/>
        <v>#VALUE!</v>
      </c>
      <c r="M79" s="43" t="s">
        <v>7</v>
      </c>
      <c r="N79" s="44" t="str">
        <f t="shared" ca="1" si="54"/>
        <v>Serviço</v>
      </c>
      <c r="O79" s="45" t="e">
        <f t="shared" ca="1" si="55"/>
        <v>#VALUE!</v>
      </c>
      <c r="P79" s="46" t="s">
        <v>62</v>
      </c>
      <c r="Q79" s="47" t="s">
        <v>136</v>
      </c>
      <c r="R79" s="48" t="s">
        <v>137</v>
      </c>
      <c r="S79" s="49" t="s">
        <v>78</v>
      </c>
      <c r="T79" s="50" t="e">
        <f ca="1">OFFSET([1]CÁLCULO!H$15,ROW($T79)-ROW(T$15),0)</f>
        <v>#VALUE!</v>
      </c>
      <c r="U79" s="51" t="e">
        <f t="shared" ca="1" si="58"/>
        <v>#VALUE!</v>
      </c>
      <c r="V79" s="52" t="s">
        <v>10</v>
      </c>
      <c r="W79" s="50" t="e">
        <f ca="1">IF($C79="S",ROUND(IF(TIPOORCAMENTO="Proposto",ORÇAMENTO.CustoUnitario*(1+$AH79),ORÇAMENTO.PrecoUnitarioLicitado),15-13*$AF$10),0)</f>
        <v>#VALUE!</v>
      </c>
      <c r="X79" s="53" t="e">
        <f t="shared" ca="1" si="42"/>
        <v>#VALUE!</v>
      </c>
      <c r="Y79" s="54" t="s">
        <v>63</v>
      </c>
      <c r="Z79" t="e">
        <f t="shared" ca="1" si="56"/>
        <v>#VALUE!</v>
      </c>
      <c r="AA79" s="55" t="e">
        <f ca="1">IF($C79="S",IF($Z79="CP",$X79,IF($Z79="RA",(($X79)*[1]QCI!$AA$3),0)),SomaAgrup)</f>
        <v>#VALUE!</v>
      </c>
      <c r="AB79" s="56" t="e">
        <f t="shared" ca="1" si="43"/>
        <v>#VALUE!</v>
      </c>
      <c r="AC79" s="57" t="e">
        <f ca="1">IF($N79="","",IF(ORÇAMENTO.Descricao="","DESCRIÇÃO",IF(AND($C79="S",ORÇAMENTO.Unidade=""),"UNIDADE",IF($X79&lt;0,"VALOR NEGATIVO",IF(OR(AND(TIPOORCAMENTO="Proposto",$AG79&lt;&gt;"",$AG79&gt;0,ORÇAMENTO.CustoUnitario&gt;$AG79),AND(TIPOORCAMENTO="LICITADO",ORÇAMENTO.PrecoUnitarioLicitado&gt;$AN79)),"ACIMA REF.","")))))</f>
        <v>#VALUE!</v>
      </c>
      <c r="AD79" t="str">
        <f ca="1">IF(C79&lt;=CRONO.NivelExibicao,MAX($AD$15:OFFSET(AD79,-1,0))+IF($C79&lt;&gt;1,1,MAX(1,COUNTIF([1]QCI!$A$13:$A$24,OFFSET($E79,-1,0)))),"")</f>
        <v/>
      </c>
      <c r="AE79" s="4" t="str">
        <f ca="1">IF(AND($C79="S",ORÇAMENTO.CodBarra&lt;&gt;""),IF(ORÇAMENTO.Fonte="",ORÇAMENTO.CodBarra,CONCATENATE(ORÇAMENTO.Fonte," ",ORÇAMENTO.CodBarra)))</f>
        <v>SINAPI 94971</v>
      </c>
      <c r="AF79" s="58" t="e">
        <f ca="1">IF(ISERROR(INDIRECT(ORÇAMENTO.BancoRef)),"(abra o arquivo 'Referência "&amp;Excel_BuiltIn_Database&amp;".xls)",IF(OR($C79&lt;&gt;"S",ORÇAMENTO.CodBarra=""),"(Sem Código)",IF(ISERROR(MATCH($AE79,INDIRECT(ORÇAMENTO.BancoRef),0)),"(Código não identificado nas referências)",MATCH($AE79,INDIRECT(ORÇAMENTO.BancoRef),0))))</f>
        <v>#VALUE!</v>
      </c>
      <c r="AG79" s="59" t="e">
        <f ca="1">ROUND(IF(DESONERACAO="sim",REFERENCIA.Desonerado,REFERENCIA.NaoDesonerado),2)</f>
        <v>#VALUE!</v>
      </c>
      <c r="AH79" s="60">
        <f t="shared" si="44"/>
        <v>0.2223</v>
      </c>
      <c r="AJ79" s="61">
        <v>7.18</v>
      </c>
      <c r="AL79" s="62"/>
      <c r="AM79" s="63" t="e">
        <f t="shared" ca="1" si="0"/>
        <v>#VALUE!</v>
      </c>
      <c r="AN79" s="64" t="e">
        <f t="shared" ca="1" si="45"/>
        <v>#VALUE!</v>
      </c>
    </row>
    <row r="80" spans="1:40" x14ac:dyDescent="0.2">
      <c r="A80">
        <f t="shared" si="41"/>
        <v>4</v>
      </c>
      <c r="B80">
        <f t="shared" ca="1" si="46"/>
        <v>4</v>
      </c>
      <c r="C80">
        <f t="shared" ca="1" si="47"/>
        <v>4</v>
      </c>
      <c r="D80">
        <f t="shared" ca="1" si="48"/>
        <v>2</v>
      </c>
      <c r="E80" t="e">
        <f ca="1">IF($C80=1,OFFSET(E80,-1,0)+MAX(1,COUNTIF([1]QCI!$A$13:$A$24,OFFSET(ORÇAMENTO!E80,-1,0))),OFFSET(E80,-1,0))</f>
        <v>#VALUE!</v>
      </c>
      <c r="F80">
        <f t="shared" ca="1" si="49"/>
        <v>2</v>
      </c>
      <c r="G80">
        <f t="shared" ca="1" si="50"/>
        <v>5</v>
      </c>
      <c r="H80">
        <f t="shared" ca="1" si="51"/>
        <v>5</v>
      </c>
      <c r="I80">
        <f t="shared" ca="1" si="52"/>
        <v>0</v>
      </c>
      <c r="J80">
        <f t="shared" ref="J80:J143" ca="1" si="59">IF(OR($C80="S",$C80=0),0,MATCH(0,OFFSET($D80,1,$C80,ROW($C$145)-ROW($C80)),0))</f>
        <v>5</v>
      </c>
      <c r="K80">
        <f ca="1">IF(OR($C80="S",$C80=0),0,MATCH(OFFSET($D80,0,$C80)+IF($C80&lt;&gt;1,1,COUNTIF([1]QCI!$A$13:$A$24,ORÇAMENTO!E80)),OFFSET($D80,1,$C80,ROW($C$145)-ROW($C80)),0))</f>
        <v>2</v>
      </c>
      <c r="L80" s="42" t="e">
        <f t="shared" ca="1" si="53"/>
        <v>#VALUE!</v>
      </c>
      <c r="M80" s="43" t="s">
        <v>6</v>
      </c>
      <c r="N80" s="44" t="str">
        <f t="shared" ca="1" si="54"/>
        <v>Nível 4</v>
      </c>
      <c r="O80" s="45" t="e">
        <f t="shared" ca="1" si="55"/>
        <v>#VALUE!</v>
      </c>
      <c r="P80" s="46" t="s">
        <v>62</v>
      </c>
      <c r="Q80" s="47"/>
      <c r="R80" s="48" t="s">
        <v>110</v>
      </c>
      <c r="S80" s="49" t="s">
        <v>67</v>
      </c>
      <c r="T80" s="50" t="e">
        <f ca="1">OFFSET([1]CÁLCULO!H$15,ROW($T80)-ROW(T$15),0)</f>
        <v>#VALUE!</v>
      </c>
      <c r="U80" s="51"/>
      <c r="V80" s="52" t="s">
        <v>10</v>
      </c>
      <c r="W80" s="50">
        <f ca="1">IF($C80="S",ROUND(IF(TIPOORCAMENTO="Proposto",ORÇAMENTO.CustoUnitario*(1+$AH80),ORÇAMENTO.PrecoUnitarioLicitado),15-13*$AF$10),0)</f>
        <v>0</v>
      </c>
      <c r="X80" s="53" t="e">
        <f t="shared" ca="1" si="42"/>
        <v>#VALUE!</v>
      </c>
      <c r="Y80" s="54" t="s">
        <v>63</v>
      </c>
      <c r="Z80" t="e">
        <f t="shared" ca="1" si="56"/>
        <v>#VALUE!</v>
      </c>
      <c r="AA80" s="55" t="e">
        <f ca="1">IF($C80="S",IF($Z80="CP",$X80,IF($Z80="RA",(($X80)*[1]QCI!$AA$3),0)),SomaAgrup)</f>
        <v>#VALUE!</v>
      </c>
      <c r="AB80" s="56" t="e">
        <f t="shared" ca="1" si="43"/>
        <v>#VALUE!</v>
      </c>
      <c r="AC80" s="57" t="e">
        <f ca="1">IF($N80="","",IF(ORÇAMENTO.Descricao="","DESCRIÇÃO",IF(AND($C80="S",ORÇAMENTO.Unidade=""),"UNIDADE",IF($X80&lt;0,"VALOR NEGATIVO",IF(OR(AND(TIPOORCAMENTO="Proposto",$AG80&lt;&gt;"",$AG80&gt;0,ORÇAMENTO.CustoUnitario&gt;$AG80),AND(TIPOORCAMENTO="LICITADO",ORÇAMENTO.PrecoUnitarioLicitado&gt;$AN80)),"ACIMA REF.","")))))</f>
        <v>#VALUE!</v>
      </c>
      <c r="AD80" t="str">
        <f ca="1">IF(C80&lt;=CRONO.NivelExibicao,MAX($AD$15:OFFSET(AD80,-1,0))+IF($C80&lt;&gt;1,1,MAX(1,COUNTIF([1]QCI!$A$13:$A$24,OFFSET($E80,-1,0)))),"")</f>
        <v/>
      </c>
      <c r="AE80" s="4" t="b">
        <f ca="1">IF(AND($C80="S",ORÇAMENTO.CodBarra&lt;&gt;""),IF(ORÇAMENTO.Fonte="",ORÇAMENTO.CodBarra,CONCATENATE(ORÇAMENTO.Fonte," ",ORÇAMENTO.CodBarra)))</f>
        <v>0</v>
      </c>
      <c r="AF80" s="58" t="e">
        <f ca="1">IF(ISERROR(INDIRECT(ORÇAMENTO.BancoRef)),"(abra o arquivo 'Referência "&amp;Excel_BuiltIn_Database&amp;".xls)",IF(OR($C80&lt;&gt;"S",ORÇAMENTO.CodBarra=""),"(Sem Código)",IF(ISERROR(MATCH($AE80,INDIRECT(ORÇAMENTO.BancoRef),0)),"(Código não identificado nas referências)",MATCH($AE80,INDIRECT(ORÇAMENTO.BancoRef),0))))</f>
        <v>#VALUE!</v>
      </c>
      <c r="AG80" s="59" t="e">
        <f ca="1">ROUND(IF(DESONERACAO="sim",REFERENCIA.Desonerado,REFERENCIA.NaoDesonerado),2)</f>
        <v>#VALUE!</v>
      </c>
      <c r="AH80" s="60">
        <f t="shared" si="44"/>
        <v>0.2223</v>
      </c>
      <c r="AJ80" s="61"/>
      <c r="AL80" s="62"/>
      <c r="AM80" s="63" t="e">
        <f t="shared" ca="1" si="0"/>
        <v>#VALUE!</v>
      </c>
      <c r="AN80" s="64">
        <f t="shared" si="45"/>
        <v>0</v>
      </c>
    </row>
    <row r="81" spans="1:40" ht="38.25" x14ac:dyDescent="0.2">
      <c r="A81" t="str">
        <f t="shared" si="41"/>
        <v>S</v>
      </c>
      <c r="B81">
        <f t="shared" ca="1" si="46"/>
        <v>4</v>
      </c>
      <c r="C81" t="str">
        <f t="shared" ca="1" si="47"/>
        <v>S</v>
      </c>
      <c r="D81">
        <f t="shared" ca="1" si="48"/>
        <v>0</v>
      </c>
      <c r="E81" t="e">
        <f ca="1">IF($C81=1,OFFSET(E81,-1,0)+MAX(1,COUNTIF([1]QCI!$A$13:$A$24,OFFSET(ORÇAMENTO!E81,-1,0))),OFFSET(E81,-1,0))</f>
        <v>#VALUE!</v>
      </c>
      <c r="F81">
        <f t="shared" ca="1" si="49"/>
        <v>2</v>
      </c>
      <c r="G81">
        <f t="shared" ca="1" si="50"/>
        <v>5</v>
      </c>
      <c r="H81">
        <f t="shared" ca="1" si="51"/>
        <v>5</v>
      </c>
      <c r="I81" t="e">
        <f t="shared" ca="1" si="52"/>
        <v>#VALUE!</v>
      </c>
      <c r="J81">
        <f t="shared" ca="1" si="59"/>
        <v>0</v>
      </c>
      <c r="K81">
        <f ca="1">IF(OR($C81="S",$C81=0),0,MATCH(OFFSET($D81,0,$C81)+IF($C81&lt;&gt;1,1,COUNTIF([1]QCI!$A$13:$A$24,ORÇAMENTO!E81)),OFFSET($D81,1,$C81,ROW($C$145)-ROW($C81)),0))</f>
        <v>0</v>
      </c>
      <c r="L81" s="42" t="e">
        <f t="shared" ca="1" si="53"/>
        <v>#VALUE!</v>
      </c>
      <c r="M81" s="43" t="s">
        <v>7</v>
      </c>
      <c r="N81" s="44" t="str">
        <f t="shared" ca="1" si="54"/>
        <v>Serviço</v>
      </c>
      <c r="O81" s="45" t="e">
        <f t="shared" ca="1" si="55"/>
        <v>#VALUE!</v>
      </c>
      <c r="P81" s="46" t="s">
        <v>62</v>
      </c>
      <c r="Q81" s="47">
        <v>91341</v>
      </c>
      <c r="R81" s="48" t="s">
        <v>111</v>
      </c>
      <c r="S81" s="49" t="s">
        <v>75</v>
      </c>
      <c r="T81" s="50" t="e">
        <f ca="1">OFFSET([1]CÁLCULO!H$15,ROW($T81)-ROW(T$15),0)</f>
        <v>#VALUE!</v>
      </c>
      <c r="U81" s="51" t="e">
        <f t="shared" ca="1" si="58"/>
        <v>#VALUE!</v>
      </c>
      <c r="V81" s="52" t="s">
        <v>10</v>
      </c>
      <c r="W81" s="50" t="e">
        <f ca="1">IF($C81="S",ROUND(IF(TIPOORCAMENTO="Proposto",ORÇAMENTO.CustoUnitario*(1+$AH81),ORÇAMENTO.PrecoUnitarioLicitado),15-13*$AF$10),0)</f>
        <v>#VALUE!</v>
      </c>
      <c r="X81" s="53" t="e">
        <f t="shared" ca="1" si="42"/>
        <v>#VALUE!</v>
      </c>
      <c r="Y81" s="54" t="s">
        <v>63</v>
      </c>
      <c r="Z81" t="e">
        <f t="shared" ca="1" si="56"/>
        <v>#VALUE!</v>
      </c>
      <c r="AA81" s="55" t="e">
        <f ca="1">IF($C81="S",IF($Z81="CP",$X81,IF($Z81="RA",(($X81)*[1]QCI!$AA$3),0)),SomaAgrup)</f>
        <v>#VALUE!</v>
      </c>
      <c r="AB81" s="56" t="e">
        <f t="shared" ca="1" si="43"/>
        <v>#VALUE!</v>
      </c>
      <c r="AC81" s="57" t="e">
        <f ca="1">IF($N81="","",IF(ORÇAMENTO.Descricao="","DESCRIÇÃO",IF(AND($C81="S",ORÇAMENTO.Unidade=""),"UNIDADE",IF($X81&lt;0,"VALOR NEGATIVO",IF(OR(AND(TIPOORCAMENTO="Proposto",$AG81&lt;&gt;"",$AG81&gt;0,ORÇAMENTO.CustoUnitario&gt;$AG81),AND(TIPOORCAMENTO="LICITADO",ORÇAMENTO.PrecoUnitarioLicitado&gt;$AN81)),"ACIMA REF.","")))))</f>
        <v>#VALUE!</v>
      </c>
      <c r="AD81" t="str">
        <f ca="1">IF(C81&lt;=CRONO.NivelExibicao,MAX($AD$15:OFFSET(AD81,-1,0))+IF($C81&lt;&gt;1,1,MAX(1,COUNTIF([1]QCI!$A$13:$A$24,OFFSET($E81,-1,0)))),"")</f>
        <v/>
      </c>
      <c r="AE81" s="4" t="str">
        <f ca="1">IF(AND($C81="S",ORÇAMENTO.CodBarra&lt;&gt;""),IF(ORÇAMENTO.Fonte="",ORÇAMENTO.CodBarra,CONCATENATE(ORÇAMENTO.Fonte," ",ORÇAMENTO.CodBarra)))</f>
        <v>SINAPI 91341</v>
      </c>
      <c r="AF81" s="58" t="e">
        <f ca="1">IF(ISERROR(INDIRECT(ORÇAMENTO.BancoRef)),"(abra o arquivo 'Referência "&amp;Excel_BuiltIn_Database&amp;".xls)",IF(OR($C81&lt;&gt;"S",ORÇAMENTO.CodBarra=""),"(Sem Código)",IF(ISERROR(MATCH($AE81,INDIRECT(ORÇAMENTO.BancoRef),0)),"(Código não identificado nas referências)",MATCH($AE81,INDIRECT(ORÇAMENTO.BancoRef),0))))</f>
        <v>#VALUE!</v>
      </c>
      <c r="AG81" s="59" t="e">
        <f ca="1">ROUND(IF(DESONERACAO="sim",REFERENCIA.Desonerado,REFERENCIA.NaoDesonerado),2)</f>
        <v>#VALUE!</v>
      </c>
      <c r="AH81" s="60">
        <f t="shared" si="44"/>
        <v>0.2223</v>
      </c>
      <c r="AJ81" s="61">
        <v>5.12</v>
      </c>
      <c r="AL81" s="62"/>
      <c r="AM81" s="63" t="e">
        <f t="shared" ca="1" si="0"/>
        <v>#VALUE!</v>
      </c>
      <c r="AN81" s="64" t="e">
        <f t="shared" ca="1" si="45"/>
        <v>#VALUE!</v>
      </c>
    </row>
    <row r="82" spans="1:40" x14ac:dyDescent="0.2">
      <c r="A82">
        <f t="shared" si="41"/>
        <v>4</v>
      </c>
      <c r="B82">
        <f t="shared" ca="1" si="46"/>
        <v>4</v>
      </c>
      <c r="C82">
        <f t="shared" ca="1" si="47"/>
        <v>4</v>
      </c>
      <c r="D82">
        <f t="shared" ca="1" si="48"/>
        <v>3</v>
      </c>
      <c r="E82" t="e">
        <f ca="1">IF($C82=1,OFFSET(E82,-1,0)+MAX(1,COUNTIF([1]QCI!$A$13:$A$24,OFFSET(ORÇAMENTO!E82,-1,0))),OFFSET(E82,-1,0))</f>
        <v>#VALUE!</v>
      </c>
      <c r="F82">
        <f t="shared" ca="1" si="49"/>
        <v>2</v>
      </c>
      <c r="G82">
        <f t="shared" ca="1" si="50"/>
        <v>5</v>
      </c>
      <c r="H82">
        <f t="shared" ca="1" si="51"/>
        <v>6</v>
      </c>
      <c r="I82">
        <f t="shared" ca="1" si="52"/>
        <v>0</v>
      </c>
      <c r="J82">
        <f t="shared" ca="1" si="59"/>
        <v>3</v>
      </c>
      <c r="K82" t="e">
        <f ca="1">IF(OR($C82="S",$C82=0),0,MATCH(OFFSET($D82,0,$C82)+IF($C82&lt;&gt;1,1,COUNTIF([1]QCI!$A$13:$A$24,ORÇAMENTO!E82)),OFFSET($D82,1,$C82,ROW($C$145)-ROW($C82)),0))</f>
        <v>#N/A</v>
      </c>
      <c r="L82" s="42" t="e">
        <f t="shared" ca="1" si="53"/>
        <v>#VALUE!</v>
      </c>
      <c r="M82" s="43" t="s">
        <v>6</v>
      </c>
      <c r="N82" s="44" t="str">
        <f t="shared" ca="1" si="54"/>
        <v>Nível 4</v>
      </c>
      <c r="O82" s="45" t="e">
        <f t="shared" ca="1" si="55"/>
        <v>#VALUE!</v>
      </c>
      <c r="P82" s="46" t="s">
        <v>62</v>
      </c>
      <c r="Q82" s="47"/>
      <c r="R82" s="48" t="s">
        <v>100</v>
      </c>
      <c r="S82" s="49" t="s">
        <v>67</v>
      </c>
      <c r="T82" s="50" t="e">
        <f ca="1">OFFSET([1]CÁLCULO!H$15,ROW($T82)-ROW(T$15),0)</f>
        <v>#VALUE!</v>
      </c>
      <c r="U82" s="51"/>
      <c r="V82" s="52" t="s">
        <v>10</v>
      </c>
      <c r="W82" s="50">
        <f ca="1">IF($C82="S",ROUND(IF(TIPOORCAMENTO="Proposto",ORÇAMENTO.CustoUnitario*(1+$AH82),ORÇAMENTO.PrecoUnitarioLicitado),15-13*$AF$10),0)</f>
        <v>0</v>
      </c>
      <c r="X82" s="53" t="e">
        <f t="shared" ca="1" si="42"/>
        <v>#VALUE!</v>
      </c>
      <c r="Y82" s="54" t="s">
        <v>63</v>
      </c>
      <c r="Z82" t="e">
        <f t="shared" ca="1" si="56"/>
        <v>#VALUE!</v>
      </c>
      <c r="AA82" s="55" t="e">
        <f ca="1">IF($C82="S",IF($Z82="CP",$X82,IF($Z82="RA",(($X82)*[1]QCI!$AA$3),0)),SomaAgrup)</f>
        <v>#VALUE!</v>
      </c>
      <c r="AB82" s="56" t="e">
        <f t="shared" ca="1" si="43"/>
        <v>#VALUE!</v>
      </c>
      <c r="AC82" s="57" t="e">
        <f ca="1">IF($N82="","",IF(ORÇAMENTO.Descricao="","DESCRIÇÃO",IF(AND($C82="S",ORÇAMENTO.Unidade=""),"UNIDADE",IF($X82&lt;0,"VALOR NEGATIVO",IF(OR(AND(TIPOORCAMENTO="Proposto",$AG82&lt;&gt;"",$AG82&gt;0,ORÇAMENTO.CustoUnitario&gt;$AG82),AND(TIPOORCAMENTO="LICITADO",ORÇAMENTO.PrecoUnitarioLicitado&gt;$AN82)),"ACIMA REF.","")))))</f>
        <v>#VALUE!</v>
      </c>
      <c r="AD82" t="str">
        <f ca="1">IF(C82&lt;=CRONO.NivelExibicao,MAX($AD$15:OFFSET(AD82,-1,0))+IF($C82&lt;&gt;1,1,MAX(1,COUNTIF([1]QCI!$A$13:$A$24,OFFSET($E82,-1,0)))),"")</f>
        <v/>
      </c>
      <c r="AE82" s="4" t="b">
        <f ca="1">IF(AND($C82="S",ORÇAMENTO.CodBarra&lt;&gt;""),IF(ORÇAMENTO.Fonte="",ORÇAMENTO.CodBarra,CONCATENATE(ORÇAMENTO.Fonte," ",ORÇAMENTO.CodBarra)))</f>
        <v>0</v>
      </c>
      <c r="AF82" s="58" t="e">
        <f ca="1">IF(ISERROR(INDIRECT(ORÇAMENTO.BancoRef)),"(abra o arquivo 'Referência "&amp;Excel_BuiltIn_Database&amp;".xls)",IF(OR($C82&lt;&gt;"S",ORÇAMENTO.CodBarra=""),"(Sem Código)",IF(ISERROR(MATCH($AE82,INDIRECT(ORÇAMENTO.BancoRef),0)),"(Código não identificado nas referências)",MATCH($AE82,INDIRECT(ORÇAMENTO.BancoRef),0))))</f>
        <v>#VALUE!</v>
      </c>
      <c r="AG82" s="59" t="e">
        <f ca="1">ROUND(IF(DESONERACAO="sim",REFERENCIA.Desonerado,REFERENCIA.NaoDesonerado),2)</f>
        <v>#VALUE!</v>
      </c>
      <c r="AH82" s="60">
        <f t="shared" si="44"/>
        <v>0.2223</v>
      </c>
      <c r="AJ82" s="61"/>
      <c r="AL82" s="62"/>
      <c r="AM82" s="63" t="e">
        <f t="shared" ca="1" si="0"/>
        <v>#VALUE!</v>
      </c>
      <c r="AN82" s="64">
        <f t="shared" si="45"/>
        <v>0</v>
      </c>
    </row>
    <row r="83" spans="1:40" ht="38.25" x14ac:dyDescent="0.2">
      <c r="A83" t="str">
        <f t="shared" si="41"/>
        <v>S</v>
      </c>
      <c r="B83">
        <f t="shared" ca="1" si="46"/>
        <v>4</v>
      </c>
      <c r="C83" t="str">
        <f t="shared" ca="1" si="47"/>
        <v>S</v>
      </c>
      <c r="D83">
        <f t="shared" ca="1" si="48"/>
        <v>0</v>
      </c>
      <c r="E83" t="e">
        <f ca="1">IF($C83=1,OFFSET(E83,-1,0)+MAX(1,COUNTIF([1]QCI!$A$13:$A$24,OFFSET(ORÇAMENTO!E83,-1,0))),OFFSET(E83,-1,0))</f>
        <v>#VALUE!</v>
      </c>
      <c r="F83">
        <f t="shared" ca="1" si="49"/>
        <v>2</v>
      </c>
      <c r="G83">
        <f t="shared" ca="1" si="50"/>
        <v>5</v>
      </c>
      <c r="H83">
        <f t="shared" ca="1" si="51"/>
        <v>6</v>
      </c>
      <c r="I83" t="e">
        <f t="shared" ca="1" si="52"/>
        <v>#VALUE!</v>
      </c>
      <c r="J83">
        <f t="shared" ca="1" si="59"/>
        <v>0</v>
      </c>
      <c r="K83">
        <f ca="1">IF(OR($C83="S",$C83=0),0,MATCH(OFFSET($D83,0,$C83)+IF($C83&lt;&gt;1,1,COUNTIF([1]QCI!$A$13:$A$24,ORÇAMENTO!E83)),OFFSET($D83,1,$C83,ROW($C$145)-ROW($C83)),0))</f>
        <v>0</v>
      </c>
      <c r="L83" s="42" t="e">
        <f t="shared" ca="1" si="53"/>
        <v>#VALUE!</v>
      </c>
      <c r="M83" s="43" t="s">
        <v>7</v>
      </c>
      <c r="N83" s="44" t="str">
        <f t="shared" ca="1" si="54"/>
        <v>Serviço</v>
      </c>
      <c r="O83" s="45" t="e">
        <f t="shared" ca="1" si="55"/>
        <v>#VALUE!</v>
      </c>
      <c r="P83" s="46" t="s">
        <v>62</v>
      </c>
      <c r="Q83" s="47">
        <v>87878</v>
      </c>
      <c r="R83" s="48" t="s">
        <v>101</v>
      </c>
      <c r="S83" s="49" t="s">
        <v>75</v>
      </c>
      <c r="T83" s="50" t="e">
        <f ca="1">OFFSET([1]CÁLCULO!H$15,ROW($T83)-ROW(T$15),0)</f>
        <v>#VALUE!</v>
      </c>
      <c r="U83" s="51" t="e">
        <f ca="1">AG83</f>
        <v>#VALUE!</v>
      </c>
      <c r="V83" s="52" t="s">
        <v>10</v>
      </c>
      <c r="W83" s="50" t="e">
        <f ca="1">IF($C83="S",ROUND(IF(TIPOORCAMENTO="Proposto",ORÇAMENTO.CustoUnitario*(1+$AH83),ORÇAMENTO.PrecoUnitarioLicitado),15-13*$AF$10),0)</f>
        <v>#VALUE!</v>
      </c>
      <c r="X83" s="53" t="e">
        <f t="shared" ca="1" si="42"/>
        <v>#VALUE!</v>
      </c>
      <c r="Y83" s="54" t="s">
        <v>63</v>
      </c>
      <c r="Z83" t="e">
        <f t="shared" ca="1" si="56"/>
        <v>#VALUE!</v>
      </c>
      <c r="AA83" s="55" t="e">
        <f ca="1">IF($C83="S",IF($Z83="CP",$X83,IF($Z83="RA",(($X83)*[1]QCI!$AA$3),0)),SomaAgrup)</f>
        <v>#VALUE!</v>
      </c>
      <c r="AB83" s="56" t="e">
        <f t="shared" ca="1" si="43"/>
        <v>#VALUE!</v>
      </c>
      <c r="AC83" s="57" t="e">
        <f ca="1">IF($N83="","",IF(ORÇAMENTO.Descricao="","DESCRIÇÃO",IF(AND($C83="S",ORÇAMENTO.Unidade=""),"UNIDADE",IF($X83&lt;0,"VALOR NEGATIVO",IF(OR(AND(TIPOORCAMENTO="Proposto",$AG83&lt;&gt;"",$AG83&gt;0,ORÇAMENTO.CustoUnitario&gt;$AG83),AND(TIPOORCAMENTO="LICITADO",ORÇAMENTO.PrecoUnitarioLicitado&gt;$AN83)),"ACIMA REF.","")))))</f>
        <v>#VALUE!</v>
      </c>
      <c r="AD83" t="str">
        <f ca="1">IF(C83&lt;=CRONO.NivelExibicao,MAX($AD$15:OFFSET(AD83,-1,0))+IF($C83&lt;&gt;1,1,MAX(1,COUNTIF([1]QCI!$A$13:$A$24,OFFSET($E83,-1,0)))),"")</f>
        <v/>
      </c>
      <c r="AE83" s="4" t="str">
        <f ca="1">IF(AND($C83="S",ORÇAMENTO.CodBarra&lt;&gt;""),IF(ORÇAMENTO.Fonte="",ORÇAMENTO.CodBarra,CONCATENATE(ORÇAMENTO.Fonte," ",ORÇAMENTO.CodBarra)))</f>
        <v>SINAPI 87878</v>
      </c>
      <c r="AF83" s="58" t="e">
        <f ca="1">IF(ISERROR(INDIRECT(ORÇAMENTO.BancoRef)),"(abra o arquivo 'Referência "&amp;Excel_BuiltIn_Database&amp;".xls)",IF(OR($C83&lt;&gt;"S",ORÇAMENTO.CodBarra=""),"(Sem Código)",IF(ISERROR(MATCH($AE83,INDIRECT(ORÇAMENTO.BancoRef),0)),"(Código não identificado nas referências)",MATCH($AE83,INDIRECT(ORÇAMENTO.BancoRef),0))))</f>
        <v>#VALUE!</v>
      </c>
      <c r="AG83" s="59" t="e">
        <f ca="1">ROUND(IF(DESONERACAO="sim",REFERENCIA.Desonerado,REFERENCIA.NaoDesonerado),2)</f>
        <v>#VALUE!</v>
      </c>
      <c r="AH83" s="60">
        <f t="shared" si="44"/>
        <v>0.2223</v>
      </c>
      <c r="AJ83" s="61">
        <v>107.44</v>
      </c>
      <c r="AL83" s="62"/>
      <c r="AM83" s="63" t="e">
        <f t="shared" ca="1" si="0"/>
        <v>#VALUE!</v>
      </c>
      <c r="AN83" s="64" t="e">
        <f t="shared" ca="1" si="45"/>
        <v>#VALUE!</v>
      </c>
    </row>
    <row r="84" spans="1:40" ht="51" x14ac:dyDescent="0.2">
      <c r="A84" t="str">
        <f t="shared" si="41"/>
        <v>S</v>
      </c>
      <c r="B84">
        <f t="shared" ca="1" si="46"/>
        <v>4</v>
      </c>
      <c r="C84" t="str">
        <f t="shared" ca="1" si="47"/>
        <v>S</v>
      </c>
      <c r="D84">
        <f t="shared" ca="1" si="48"/>
        <v>0</v>
      </c>
      <c r="E84" t="e">
        <f ca="1">IF($C84=1,OFFSET(E84,-1,0)+MAX(1,COUNTIF([1]QCI!$A$13:$A$24,OFFSET(ORÇAMENTO!E84,-1,0))),OFFSET(E84,-1,0))</f>
        <v>#VALUE!</v>
      </c>
      <c r="F84">
        <f t="shared" ca="1" si="49"/>
        <v>2</v>
      </c>
      <c r="G84">
        <f t="shared" ca="1" si="50"/>
        <v>5</v>
      </c>
      <c r="H84">
        <f t="shared" ca="1" si="51"/>
        <v>6</v>
      </c>
      <c r="I84" t="e">
        <f t="shared" ca="1" si="52"/>
        <v>#VALUE!</v>
      </c>
      <c r="J84">
        <f t="shared" ca="1" si="59"/>
        <v>0</v>
      </c>
      <c r="K84">
        <f ca="1">IF(OR($C84="S",$C84=0),0,MATCH(OFFSET($D84,0,$C84)+IF($C84&lt;&gt;1,1,COUNTIF([1]QCI!$A$13:$A$24,ORÇAMENTO!E84)),OFFSET($D84,1,$C84,ROW($C$145)-ROW($C84)),0))</f>
        <v>0</v>
      </c>
      <c r="L84" s="42" t="e">
        <f t="shared" ca="1" si="53"/>
        <v>#VALUE!</v>
      </c>
      <c r="M84" s="43" t="s">
        <v>7</v>
      </c>
      <c r="N84" s="44" t="str">
        <f t="shared" ca="1" si="54"/>
        <v>Serviço</v>
      </c>
      <c r="O84" s="45" t="e">
        <f t="shared" ca="1" si="55"/>
        <v>#VALUE!</v>
      </c>
      <c r="P84" s="46" t="s">
        <v>62</v>
      </c>
      <c r="Q84" s="47">
        <v>87529</v>
      </c>
      <c r="R84" s="48" t="s">
        <v>102</v>
      </c>
      <c r="S84" s="49" t="s">
        <v>75</v>
      </c>
      <c r="T84" s="50" t="e">
        <f ca="1">OFFSET([1]CÁLCULO!H$15,ROW($T84)-ROW(T$15),0)</f>
        <v>#VALUE!</v>
      </c>
      <c r="U84" s="51" t="e">
        <f ca="1">AG84</f>
        <v>#VALUE!</v>
      </c>
      <c r="V84" s="52" t="s">
        <v>10</v>
      </c>
      <c r="W84" s="50" t="e">
        <f ca="1">IF($C84="S",ROUND(IF(TIPOORCAMENTO="Proposto",ORÇAMENTO.CustoUnitario*(1+$AH84),ORÇAMENTO.PrecoUnitarioLicitado),15-13*$AF$10),0)</f>
        <v>#VALUE!</v>
      </c>
      <c r="X84" s="53" t="e">
        <f t="shared" ca="1" si="42"/>
        <v>#VALUE!</v>
      </c>
      <c r="Y84" s="54" t="s">
        <v>63</v>
      </c>
      <c r="Z84" t="e">
        <f t="shared" ca="1" si="56"/>
        <v>#VALUE!</v>
      </c>
      <c r="AA84" s="55" t="e">
        <f ca="1">IF($C84="S",IF($Z84="CP",$X84,IF($Z84="RA",(($X84)*[1]QCI!$AA$3),0)),SomaAgrup)</f>
        <v>#VALUE!</v>
      </c>
      <c r="AB84" s="56" t="e">
        <f t="shared" ca="1" si="43"/>
        <v>#VALUE!</v>
      </c>
      <c r="AC84" s="57" t="e">
        <f ca="1">IF($N84="","",IF(ORÇAMENTO.Descricao="","DESCRIÇÃO",IF(AND($C84="S",ORÇAMENTO.Unidade=""),"UNIDADE",IF($X84&lt;0,"VALOR NEGATIVO",IF(OR(AND(TIPOORCAMENTO="Proposto",$AG84&lt;&gt;"",$AG84&gt;0,ORÇAMENTO.CustoUnitario&gt;$AG84),AND(TIPOORCAMENTO="LICITADO",ORÇAMENTO.PrecoUnitarioLicitado&gt;$AN84)),"ACIMA REF.","")))))</f>
        <v>#VALUE!</v>
      </c>
      <c r="AD84" t="str">
        <f ca="1">IF(C84&lt;=CRONO.NivelExibicao,MAX($AD$15:OFFSET(AD84,-1,0))+IF($C84&lt;&gt;1,1,MAX(1,COUNTIF([1]QCI!$A$13:$A$24,OFFSET($E84,-1,0)))),"")</f>
        <v/>
      </c>
      <c r="AE84" s="4" t="str">
        <f ca="1">IF(AND($C84="S",ORÇAMENTO.CodBarra&lt;&gt;""),IF(ORÇAMENTO.Fonte="",ORÇAMENTO.CodBarra,CONCATENATE(ORÇAMENTO.Fonte," ",ORÇAMENTO.CodBarra)))</f>
        <v>SINAPI 87529</v>
      </c>
      <c r="AF84" s="58" t="e">
        <f ca="1">IF(ISERROR(INDIRECT(ORÇAMENTO.BancoRef)),"(abra o arquivo 'Referência "&amp;Excel_BuiltIn_Database&amp;".xls)",IF(OR($C84&lt;&gt;"S",ORÇAMENTO.CodBarra=""),"(Sem Código)",IF(ISERROR(MATCH($AE84,INDIRECT(ORÇAMENTO.BancoRef),0)),"(Código não identificado nas referências)",MATCH($AE84,INDIRECT(ORÇAMENTO.BancoRef),0))))</f>
        <v>#VALUE!</v>
      </c>
      <c r="AG84" s="59" t="e">
        <f ca="1">ROUND(IF(DESONERACAO="sim",REFERENCIA.Desonerado,REFERENCIA.NaoDesonerado),2)</f>
        <v>#VALUE!</v>
      </c>
      <c r="AH84" s="60">
        <f t="shared" si="44"/>
        <v>0.2223</v>
      </c>
      <c r="AJ84" s="61">
        <v>107.44</v>
      </c>
      <c r="AL84" s="62"/>
      <c r="AM84" s="63" t="e">
        <f t="shared" ca="1" si="0"/>
        <v>#VALUE!</v>
      </c>
      <c r="AN84" s="64" t="e">
        <f t="shared" ca="1" si="45"/>
        <v>#VALUE!</v>
      </c>
    </row>
    <row r="85" spans="1:40" x14ac:dyDescent="0.2">
      <c r="A85">
        <f t="shared" si="41"/>
        <v>3</v>
      </c>
      <c r="B85">
        <f t="shared" ca="1" si="46"/>
        <v>3</v>
      </c>
      <c r="C85">
        <f t="shared" ca="1" si="47"/>
        <v>3</v>
      </c>
      <c r="D85">
        <f t="shared" ca="1" si="48"/>
        <v>15</v>
      </c>
      <c r="E85" t="e">
        <f ca="1">IF($C85=1,OFFSET(E85,-1,0)+MAX(1,COUNTIF([1]QCI!$A$13:$A$24,OFFSET(ORÇAMENTO!E85,-1,0))),OFFSET(E85,-1,0))</f>
        <v>#VALUE!</v>
      </c>
      <c r="F85">
        <f t="shared" ca="1" si="49"/>
        <v>2</v>
      </c>
      <c r="G85">
        <f t="shared" ca="1" si="50"/>
        <v>6</v>
      </c>
      <c r="H85">
        <f t="shared" ca="1" si="51"/>
        <v>0</v>
      </c>
      <c r="I85">
        <f t="shared" ca="1" si="52"/>
        <v>0</v>
      </c>
      <c r="J85">
        <f t="shared" ca="1" si="59"/>
        <v>60</v>
      </c>
      <c r="K85">
        <f ca="1">IF(OR($C85="S",$C85=0),0,MATCH(OFFSET($D85,0,$C85)+IF($C85&lt;&gt;1,1,COUNTIF([1]QCI!$A$13:$A$24,ORÇAMENTO!E85)),OFFSET($D85,1,$C85,ROW($C$145)-ROW($C85)),0))</f>
        <v>15</v>
      </c>
      <c r="L85" s="42" t="e">
        <f t="shared" ca="1" si="53"/>
        <v>#VALUE!</v>
      </c>
      <c r="M85" s="43" t="s">
        <v>5</v>
      </c>
      <c r="N85" s="44" t="str">
        <f t="shared" ca="1" si="54"/>
        <v>Nível 3</v>
      </c>
      <c r="O85" s="45" t="e">
        <f t="shared" ca="1" si="55"/>
        <v>#VALUE!</v>
      </c>
      <c r="P85" s="46" t="s">
        <v>62</v>
      </c>
      <c r="Q85" s="47"/>
      <c r="R85" s="48" t="s">
        <v>160</v>
      </c>
      <c r="S85" s="49" t="s">
        <v>67</v>
      </c>
      <c r="T85" s="50" t="e">
        <f ca="1">OFFSET([1]CÁLCULO!H$15,ROW($T85)-ROW(T$15),0)</f>
        <v>#VALUE!</v>
      </c>
      <c r="U85" s="51"/>
      <c r="V85" s="52" t="s">
        <v>10</v>
      </c>
      <c r="W85" s="50">
        <f ca="1">IF($C85="S",ROUND(IF(TIPOORCAMENTO="Proposto",ORÇAMENTO.CustoUnitario*(1+$AH85),ORÇAMENTO.PrecoUnitarioLicitado),15-13*$AF$10),0)</f>
        <v>0</v>
      </c>
      <c r="X85" s="53" t="e">
        <f t="shared" ca="1" si="42"/>
        <v>#VALUE!</v>
      </c>
      <c r="Y85" s="54" t="s">
        <v>63</v>
      </c>
      <c r="Z85" t="e">
        <f t="shared" ca="1" si="56"/>
        <v>#VALUE!</v>
      </c>
      <c r="AA85" s="55" t="e">
        <f ca="1">IF($C85="S",IF($Z85="CP",$X85,IF($Z85="RA",(($X85)*[1]QCI!$AA$3),0)),SomaAgrup)</f>
        <v>#VALUE!</v>
      </c>
      <c r="AB85" s="56" t="e">
        <f t="shared" ca="1" si="43"/>
        <v>#VALUE!</v>
      </c>
      <c r="AC85" s="57" t="e">
        <f ca="1">IF($N85="","",IF(ORÇAMENTO.Descricao="","DESCRIÇÃO",IF(AND($C85="S",ORÇAMENTO.Unidade=""),"UNIDADE",IF($X85&lt;0,"VALOR NEGATIVO",IF(OR(AND(TIPOORCAMENTO="Proposto",$AG85&lt;&gt;"",$AG85&gt;0,ORÇAMENTO.CustoUnitario&gt;$AG85),AND(TIPOORCAMENTO="LICITADO",ORÇAMENTO.PrecoUnitarioLicitado&gt;$AN85)),"ACIMA REF.","")))))</f>
        <v>#VALUE!</v>
      </c>
      <c r="AD85" t="e">
        <f ca="1">IF(C85&lt;=CRONO.NivelExibicao,MAX($AD$15:OFFSET(AD85,-1,0))+IF($C85&lt;&gt;1,1,MAX(1,COUNTIF([1]QCI!$A$13:$A$24,OFFSET($E85,-1,0)))),"")</f>
        <v>#VALUE!</v>
      </c>
      <c r="AE85" s="4" t="b">
        <f ca="1">IF(AND($C85="S",ORÇAMENTO.CodBarra&lt;&gt;""),IF(ORÇAMENTO.Fonte="",ORÇAMENTO.CodBarra,CONCATENATE(ORÇAMENTO.Fonte," ",ORÇAMENTO.CodBarra)))</f>
        <v>0</v>
      </c>
      <c r="AF85" s="58" t="e">
        <f ca="1">IF(ISERROR(INDIRECT(ORÇAMENTO.BancoRef)),"(abra o arquivo 'Referência "&amp;Excel_BuiltIn_Database&amp;".xls)",IF(OR($C85&lt;&gt;"S",ORÇAMENTO.CodBarra=""),"(Sem Código)",IF(ISERROR(MATCH($AE85,INDIRECT(ORÇAMENTO.BancoRef),0)),"(Código não identificado nas referências)",MATCH($AE85,INDIRECT(ORÇAMENTO.BancoRef),0))))</f>
        <v>#VALUE!</v>
      </c>
      <c r="AG85" s="59" t="e">
        <f ca="1">ROUND(IF(DESONERACAO="sim",REFERENCIA.Desonerado,REFERENCIA.NaoDesonerado),2)</f>
        <v>#VALUE!</v>
      </c>
      <c r="AH85" s="60">
        <f t="shared" si="44"/>
        <v>0.2223</v>
      </c>
      <c r="AJ85" s="61"/>
      <c r="AL85" s="62"/>
      <c r="AM85" s="63" t="e">
        <f t="shared" ca="1" si="0"/>
        <v>#VALUE!</v>
      </c>
      <c r="AN85" s="64">
        <f t="shared" si="45"/>
        <v>0</v>
      </c>
    </row>
    <row r="86" spans="1:40" ht="51" x14ac:dyDescent="0.2">
      <c r="A86" t="str">
        <f t="shared" si="41"/>
        <v>S</v>
      </c>
      <c r="B86">
        <f t="shared" ca="1" si="46"/>
        <v>3</v>
      </c>
      <c r="C86" t="str">
        <f t="shared" ca="1" si="47"/>
        <v>S</v>
      </c>
      <c r="D86">
        <f t="shared" ca="1" si="48"/>
        <v>0</v>
      </c>
      <c r="E86" t="e">
        <f ca="1">IF($C86=1,OFFSET(E86,-1,0)+MAX(1,COUNTIF([1]QCI!$A$13:$A$24,OFFSET(ORÇAMENTO!E86,-1,0))),OFFSET(E86,-1,0))</f>
        <v>#VALUE!</v>
      </c>
      <c r="F86">
        <f t="shared" ca="1" si="49"/>
        <v>2</v>
      </c>
      <c r="G86">
        <f t="shared" ca="1" si="50"/>
        <v>6</v>
      </c>
      <c r="H86">
        <f t="shared" ca="1" si="51"/>
        <v>0</v>
      </c>
      <c r="I86" t="e">
        <f t="shared" ca="1" si="52"/>
        <v>#VALUE!</v>
      </c>
      <c r="J86">
        <f t="shared" ca="1" si="59"/>
        <v>0</v>
      </c>
      <c r="K86">
        <f ca="1">IF(OR($C86="S",$C86=0),0,MATCH(OFFSET($D86,0,$C86)+IF($C86&lt;&gt;1,1,COUNTIF([1]QCI!$A$13:$A$24,ORÇAMENTO!E86)),OFFSET($D86,1,$C86,ROW($C$145)-ROW($C86)),0))</f>
        <v>0</v>
      </c>
      <c r="L86" s="42" t="e">
        <f t="shared" ca="1" si="53"/>
        <v>#VALUE!</v>
      </c>
      <c r="M86" s="43" t="s">
        <v>7</v>
      </c>
      <c r="N86" s="44" t="str">
        <f t="shared" ca="1" si="54"/>
        <v>Serviço</v>
      </c>
      <c r="O86" s="45" t="e">
        <f t="shared" ca="1" si="55"/>
        <v>#VALUE!</v>
      </c>
      <c r="P86" s="46" t="s">
        <v>62</v>
      </c>
      <c r="Q86" s="47">
        <v>101879</v>
      </c>
      <c r="R86" s="48" t="s">
        <v>161</v>
      </c>
      <c r="S86" s="49" t="s">
        <v>85</v>
      </c>
      <c r="T86" s="50" t="e">
        <f ca="1">OFFSET([1]CÁLCULO!H$15,ROW($T86)-ROW(T$15),0)</f>
        <v>#VALUE!</v>
      </c>
      <c r="U86" s="51" t="e">
        <f t="shared" ca="1" si="23"/>
        <v>#VALUE!</v>
      </c>
      <c r="V86" s="52" t="s">
        <v>10</v>
      </c>
      <c r="W86" s="50" t="e">
        <f ca="1">IF($C86="S",ROUND(IF(TIPOORCAMENTO="Proposto",ORÇAMENTO.CustoUnitario*(1+$AH86),ORÇAMENTO.PrecoUnitarioLicitado),15-13*$AF$10),0)</f>
        <v>#VALUE!</v>
      </c>
      <c r="X86" s="53" t="e">
        <f t="shared" ca="1" si="42"/>
        <v>#VALUE!</v>
      </c>
      <c r="Y86" s="54" t="s">
        <v>63</v>
      </c>
      <c r="Z86" t="e">
        <f t="shared" ca="1" si="56"/>
        <v>#VALUE!</v>
      </c>
      <c r="AA86" s="55" t="e">
        <f ca="1">IF($C86="S",IF($Z86="CP",$X86,IF($Z86="RA",(($X86)*[1]QCI!$AA$3),0)),SomaAgrup)</f>
        <v>#VALUE!</v>
      </c>
      <c r="AB86" s="56" t="e">
        <f t="shared" ca="1" si="43"/>
        <v>#VALUE!</v>
      </c>
      <c r="AC86" s="57" t="e">
        <f ca="1">IF($N86="","",IF(ORÇAMENTO.Descricao="","DESCRIÇÃO",IF(AND($C86="S",ORÇAMENTO.Unidade=""),"UNIDADE",IF($X86&lt;0,"VALOR NEGATIVO",IF(OR(AND(TIPOORCAMENTO="Proposto",$AG86&lt;&gt;"",$AG86&gt;0,ORÇAMENTO.CustoUnitario&gt;$AG86),AND(TIPOORCAMENTO="LICITADO",ORÇAMENTO.PrecoUnitarioLicitado&gt;$AN86)),"ACIMA REF.","")))))</f>
        <v>#VALUE!</v>
      </c>
      <c r="AD86" t="str">
        <f ca="1">IF(C86&lt;=CRONO.NivelExibicao,MAX($AD$15:OFFSET(AD86,-1,0))+IF($C86&lt;&gt;1,1,MAX(1,COUNTIF([1]QCI!$A$13:$A$24,OFFSET($E86,-1,0)))),"")</f>
        <v/>
      </c>
      <c r="AE86" s="4" t="str">
        <f ca="1">IF(AND($C86="S",ORÇAMENTO.CodBarra&lt;&gt;""),IF(ORÇAMENTO.Fonte="",ORÇAMENTO.CodBarra,CONCATENATE(ORÇAMENTO.Fonte," ",ORÇAMENTO.CodBarra)))</f>
        <v>SINAPI 101879</v>
      </c>
      <c r="AF86" s="58" t="e">
        <f ca="1">IF(ISERROR(INDIRECT(ORÇAMENTO.BancoRef)),"(abra o arquivo 'Referência "&amp;Excel_BuiltIn_Database&amp;".xls)",IF(OR($C86&lt;&gt;"S",ORÇAMENTO.CodBarra=""),"(Sem Código)",IF(ISERROR(MATCH($AE86,INDIRECT(ORÇAMENTO.BancoRef),0)),"(Código não identificado nas referências)",MATCH($AE86,INDIRECT(ORÇAMENTO.BancoRef),0))))</f>
        <v>#VALUE!</v>
      </c>
      <c r="AG86" s="59" t="e">
        <f ca="1">ROUND(IF(DESONERACAO="sim",REFERENCIA.Desonerado,REFERENCIA.NaoDesonerado),2)</f>
        <v>#VALUE!</v>
      </c>
      <c r="AH86" s="60">
        <f t="shared" si="44"/>
        <v>0.2223</v>
      </c>
      <c r="AJ86" s="61">
        <v>1</v>
      </c>
      <c r="AL86" s="62"/>
      <c r="AM86" s="63" t="e">
        <f t="shared" ca="1" si="0"/>
        <v>#VALUE!</v>
      </c>
      <c r="AN86" s="64" t="e">
        <f t="shared" ca="1" si="45"/>
        <v>#VALUE!</v>
      </c>
    </row>
    <row r="87" spans="1:40" ht="25.5" x14ac:dyDescent="0.2">
      <c r="A87" t="str">
        <f t="shared" si="41"/>
        <v>S</v>
      </c>
      <c r="B87">
        <f t="shared" ca="1" si="46"/>
        <v>3</v>
      </c>
      <c r="C87" t="str">
        <f t="shared" ca="1" si="47"/>
        <v>S</v>
      </c>
      <c r="D87">
        <f t="shared" ca="1" si="48"/>
        <v>0</v>
      </c>
      <c r="E87" t="e">
        <f ca="1">IF($C87=1,OFFSET(E87,-1,0)+MAX(1,COUNTIF([1]QCI!$A$13:$A$24,OFFSET(ORÇAMENTO!E87,-1,0))),OFFSET(E87,-1,0))</f>
        <v>#VALUE!</v>
      </c>
      <c r="F87">
        <f t="shared" ca="1" si="49"/>
        <v>2</v>
      </c>
      <c r="G87">
        <f t="shared" ca="1" si="50"/>
        <v>6</v>
      </c>
      <c r="H87">
        <f t="shared" ca="1" si="51"/>
        <v>0</v>
      </c>
      <c r="I87" t="e">
        <f t="shared" ca="1" si="52"/>
        <v>#VALUE!</v>
      </c>
      <c r="J87">
        <f t="shared" ca="1" si="59"/>
        <v>0</v>
      </c>
      <c r="K87">
        <f ca="1">IF(OR($C87="S",$C87=0),0,MATCH(OFFSET($D87,0,$C87)+IF($C87&lt;&gt;1,1,COUNTIF([1]QCI!$A$13:$A$24,ORÇAMENTO!E87)),OFFSET($D87,1,$C87,ROW($C$145)-ROW($C87)),0))</f>
        <v>0</v>
      </c>
      <c r="L87" s="42" t="e">
        <f t="shared" ca="1" si="53"/>
        <v>#VALUE!</v>
      </c>
      <c r="M87" s="43" t="s">
        <v>7</v>
      </c>
      <c r="N87" s="44" t="str">
        <f t="shared" ca="1" si="54"/>
        <v>Serviço</v>
      </c>
      <c r="O87" s="45" t="e">
        <f t="shared" ca="1" si="55"/>
        <v>#VALUE!</v>
      </c>
      <c r="P87" s="46" t="s">
        <v>62</v>
      </c>
      <c r="Q87" s="47">
        <v>93653</v>
      </c>
      <c r="R87" s="48" t="s">
        <v>162</v>
      </c>
      <c r="S87" s="49" t="s">
        <v>85</v>
      </c>
      <c r="T87" s="50" t="e">
        <f ca="1">OFFSET([1]CÁLCULO!H$15,ROW($T87)-ROW(T$15),0)</f>
        <v>#VALUE!</v>
      </c>
      <c r="U87" s="51" t="e">
        <f t="shared" ca="1" si="23"/>
        <v>#VALUE!</v>
      </c>
      <c r="V87" s="52" t="s">
        <v>10</v>
      </c>
      <c r="W87" s="50" t="e">
        <f ca="1">IF($C87="S",ROUND(IF(TIPOORCAMENTO="Proposto",ORÇAMENTO.CustoUnitario*(1+$AH87),ORÇAMENTO.PrecoUnitarioLicitado),15-13*$AF$10),0)</f>
        <v>#VALUE!</v>
      </c>
      <c r="X87" s="53" t="e">
        <f t="shared" ca="1" si="42"/>
        <v>#VALUE!</v>
      </c>
      <c r="Y87" s="54" t="s">
        <v>63</v>
      </c>
      <c r="Z87" t="e">
        <f t="shared" ca="1" si="56"/>
        <v>#VALUE!</v>
      </c>
      <c r="AA87" s="55" t="e">
        <f ca="1">IF($C87="S",IF($Z87="CP",$X87,IF($Z87="RA",(($X87)*[1]QCI!$AA$3),0)),SomaAgrup)</f>
        <v>#VALUE!</v>
      </c>
      <c r="AB87" s="56" t="e">
        <f t="shared" ca="1" si="43"/>
        <v>#VALUE!</v>
      </c>
      <c r="AC87" s="57" t="e">
        <f ca="1">IF($N87="","",IF(ORÇAMENTO.Descricao="","DESCRIÇÃO",IF(AND($C87="S",ORÇAMENTO.Unidade=""),"UNIDADE",IF($X87&lt;0,"VALOR NEGATIVO",IF(OR(AND(TIPOORCAMENTO="Proposto",$AG87&lt;&gt;"",$AG87&gt;0,ORÇAMENTO.CustoUnitario&gt;$AG87),AND(TIPOORCAMENTO="LICITADO",ORÇAMENTO.PrecoUnitarioLicitado&gt;$AN87)),"ACIMA REF.","")))))</f>
        <v>#VALUE!</v>
      </c>
      <c r="AD87" t="str">
        <f ca="1">IF(C87&lt;=CRONO.NivelExibicao,MAX($AD$15:OFFSET(AD87,-1,0))+IF($C87&lt;&gt;1,1,MAX(1,COUNTIF([1]QCI!$A$13:$A$24,OFFSET($E87,-1,0)))),"")</f>
        <v/>
      </c>
      <c r="AE87" s="4" t="str">
        <f ca="1">IF(AND($C87="S",ORÇAMENTO.CodBarra&lt;&gt;""),IF(ORÇAMENTO.Fonte="",ORÇAMENTO.CodBarra,CONCATENATE(ORÇAMENTO.Fonte," ",ORÇAMENTO.CodBarra)))</f>
        <v>SINAPI 93653</v>
      </c>
      <c r="AF87" s="58" t="e">
        <f ca="1">IF(ISERROR(INDIRECT(ORÇAMENTO.BancoRef)),"(abra o arquivo 'Referência "&amp;Excel_BuiltIn_Database&amp;".xls)",IF(OR($C87&lt;&gt;"S",ORÇAMENTO.CodBarra=""),"(Sem Código)",IF(ISERROR(MATCH($AE87,INDIRECT(ORÇAMENTO.BancoRef),0)),"(Código não identificado nas referências)",MATCH($AE87,INDIRECT(ORÇAMENTO.BancoRef),0))))</f>
        <v>#VALUE!</v>
      </c>
      <c r="AG87" s="59" t="e">
        <f ca="1">ROUND(IF(DESONERACAO="sim",REFERENCIA.Desonerado,REFERENCIA.NaoDesonerado),2)</f>
        <v>#VALUE!</v>
      </c>
      <c r="AH87" s="60">
        <f t="shared" si="44"/>
        <v>0.2223</v>
      </c>
      <c r="AJ87" s="61">
        <v>9</v>
      </c>
      <c r="AL87" s="62"/>
      <c r="AM87" s="63" t="e">
        <f t="shared" ca="1" si="0"/>
        <v>#VALUE!</v>
      </c>
      <c r="AN87" s="64" t="e">
        <f t="shared" ca="1" si="45"/>
        <v>#VALUE!</v>
      </c>
    </row>
    <row r="88" spans="1:40" ht="25.5" x14ac:dyDescent="0.2">
      <c r="A88" t="str">
        <f t="shared" si="41"/>
        <v>S</v>
      </c>
      <c r="B88">
        <f t="shared" ca="1" si="46"/>
        <v>3</v>
      </c>
      <c r="C88" t="str">
        <f t="shared" ca="1" si="47"/>
        <v>S</v>
      </c>
      <c r="D88">
        <f t="shared" ca="1" si="48"/>
        <v>0</v>
      </c>
      <c r="E88" t="e">
        <f ca="1">IF($C88=1,OFFSET(E88,-1,0)+MAX(1,COUNTIF([1]QCI!$A$13:$A$24,OFFSET(ORÇAMENTO!E88,-1,0))),OFFSET(E88,-1,0))</f>
        <v>#VALUE!</v>
      </c>
      <c r="F88">
        <f t="shared" ca="1" si="49"/>
        <v>2</v>
      </c>
      <c r="G88">
        <f t="shared" ca="1" si="50"/>
        <v>6</v>
      </c>
      <c r="H88">
        <f t="shared" ca="1" si="51"/>
        <v>0</v>
      </c>
      <c r="I88" t="e">
        <f t="shared" ca="1" si="52"/>
        <v>#VALUE!</v>
      </c>
      <c r="J88">
        <f t="shared" ca="1" si="59"/>
        <v>0</v>
      </c>
      <c r="K88">
        <f ca="1">IF(OR($C88="S",$C88=0),0,MATCH(OFFSET($D88,0,$C88)+IF($C88&lt;&gt;1,1,COUNTIF([1]QCI!$A$13:$A$24,ORÇAMENTO!E88)),OFFSET($D88,1,$C88,ROW($C$145)-ROW($C88)),0))</f>
        <v>0</v>
      </c>
      <c r="L88" s="42" t="e">
        <f t="shared" ca="1" si="53"/>
        <v>#VALUE!</v>
      </c>
      <c r="M88" s="43" t="s">
        <v>7</v>
      </c>
      <c r="N88" s="44" t="str">
        <f t="shared" ca="1" si="54"/>
        <v>Serviço</v>
      </c>
      <c r="O88" s="45" t="e">
        <f t="shared" ca="1" si="55"/>
        <v>#VALUE!</v>
      </c>
      <c r="P88" s="46" t="s">
        <v>62</v>
      </c>
      <c r="Q88" s="47" t="s">
        <v>163</v>
      </c>
      <c r="R88" s="48" t="s">
        <v>164</v>
      </c>
      <c r="S88" s="49" t="s">
        <v>85</v>
      </c>
      <c r="T88" s="50" t="e">
        <f ca="1">OFFSET([1]CÁLCULO!H$15,ROW($T88)-ROW(T$15),0)</f>
        <v>#VALUE!</v>
      </c>
      <c r="U88" s="51" t="e">
        <f t="shared" ca="1" si="23"/>
        <v>#VALUE!</v>
      </c>
      <c r="V88" s="52" t="s">
        <v>10</v>
      </c>
      <c r="W88" s="50" t="e">
        <f ca="1">IF($C88="S",ROUND(IF(TIPOORCAMENTO="Proposto",ORÇAMENTO.CustoUnitario*(1+$AH88),ORÇAMENTO.PrecoUnitarioLicitado),15-13*$AF$10),0)</f>
        <v>#VALUE!</v>
      </c>
      <c r="X88" s="53" t="e">
        <f t="shared" ca="1" si="42"/>
        <v>#VALUE!</v>
      </c>
      <c r="Y88" s="54" t="s">
        <v>63</v>
      </c>
      <c r="Z88" t="e">
        <f t="shared" ca="1" si="56"/>
        <v>#VALUE!</v>
      </c>
      <c r="AA88" s="55" t="e">
        <f ca="1">IF($C88="S",IF($Z88="CP",$X88,IF($Z88="RA",(($X88)*[1]QCI!$AA$3),0)),SomaAgrup)</f>
        <v>#VALUE!</v>
      </c>
      <c r="AB88" s="56" t="e">
        <f t="shared" ca="1" si="43"/>
        <v>#VALUE!</v>
      </c>
      <c r="AC88" s="57" t="e">
        <f ca="1">IF($N88="","",IF(ORÇAMENTO.Descricao="","DESCRIÇÃO",IF(AND($C88="S",ORÇAMENTO.Unidade=""),"UNIDADE",IF($X88&lt;0,"VALOR NEGATIVO",IF(OR(AND(TIPOORCAMENTO="Proposto",$AG88&lt;&gt;"",$AG88&gt;0,ORÇAMENTO.CustoUnitario&gt;$AG88),AND(TIPOORCAMENTO="LICITADO",ORÇAMENTO.PrecoUnitarioLicitado&gt;$AN88)),"ACIMA REF.","")))))</f>
        <v>#VALUE!</v>
      </c>
      <c r="AD88" t="str">
        <f ca="1">IF(C88&lt;=CRONO.NivelExibicao,MAX($AD$15:OFFSET(AD88,-1,0))+IF($C88&lt;&gt;1,1,MAX(1,COUNTIF([1]QCI!$A$13:$A$24,OFFSET($E88,-1,0)))),"")</f>
        <v/>
      </c>
      <c r="AE88" s="4" t="str">
        <f ca="1">IF(AND($C88="S",ORÇAMENTO.CodBarra&lt;&gt;""),IF(ORÇAMENTO.Fonte="",ORÇAMENTO.CodBarra,CONCATENATE(ORÇAMENTO.Fonte," ",ORÇAMENTO.CodBarra)))</f>
        <v>SINAPI 93654</v>
      </c>
      <c r="AF88" s="58" t="e">
        <f ca="1">IF(ISERROR(INDIRECT(ORÇAMENTO.BancoRef)),"(abra o arquivo 'Referência "&amp;Excel_BuiltIn_Database&amp;".xls)",IF(OR($C88&lt;&gt;"S",ORÇAMENTO.CodBarra=""),"(Sem Código)",IF(ISERROR(MATCH($AE88,INDIRECT(ORÇAMENTO.BancoRef),0)),"(Código não identificado nas referências)",MATCH($AE88,INDIRECT(ORÇAMENTO.BancoRef),0))))</f>
        <v>#VALUE!</v>
      </c>
      <c r="AG88" s="59" t="e">
        <f ca="1">ROUND(IF(DESONERACAO="sim",REFERENCIA.Desonerado,REFERENCIA.NaoDesonerado),2)</f>
        <v>#VALUE!</v>
      </c>
      <c r="AH88" s="60">
        <f t="shared" si="44"/>
        <v>0.2223</v>
      </c>
      <c r="AJ88" s="61">
        <v>1</v>
      </c>
      <c r="AL88" s="62"/>
      <c r="AM88" s="63" t="e">
        <f t="shared" ca="1" si="0"/>
        <v>#VALUE!</v>
      </c>
      <c r="AN88" s="64" t="e">
        <f t="shared" ca="1" si="45"/>
        <v>#VALUE!</v>
      </c>
    </row>
    <row r="89" spans="1:40" ht="25.5" x14ac:dyDescent="0.2">
      <c r="A89" t="str">
        <f t="shared" si="41"/>
        <v>S</v>
      </c>
      <c r="B89">
        <f t="shared" ca="1" si="46"/>
        <v>3</v>
      </c>
      <c r="C89" t="str">
        <f t="shared" ca="1" si="47"/>
        <v>S</v>
      </c>
      <c r="D89">
        <f t="shared" ca="1" si="48"/>
        <v>0</v>
      </c>
      <c r="E89" t="e">
        <f ca="1">IF($C89=1,OFFSET(E89,-1,0)+MAX(1,COUNTIF([1]QCI!$A$13:$A$24,OFFSET(ORÇAMENTO!E89,-1,0))),OFFSET(E89,-1,0))</f>
        <v>#VALUE!</v>
      </c>
      <c r="F89">
        <f t="shared" ca="1" si="49"/>
        <v>2</v>
      </c>
      <c r="G89">
        <f t="shared" ca="1" si="50"/>
        <v>6</v>
      </c>
      <c r="H89">
        <f t="shared" ca="1" si="51"/>
        <v>0</v>
      </c>
      <c r="I89" t="e">
        <f t="shared" ca="1" si="52"/>
        <v>#VALUE!</v>
      </c>
      <c r="J89">
        <f t="shared" ca="1" si="59"/>
        <v>0</v>
      </c>
      <c r="K89">
        <f ca="1">IF(OR($C89="S",$C89=0),0,MATCH(OFFSET($D89,0,$C89)+IF($C89&lt;&gt;1,1,COUNTIF([1]QCI!$A$13:$A$24,ORÇAMENTO!E89)),OFFSET($D89,1,$C89,ROW($C$145)-ROW($C89)),0))</f>
        <v>0</v>
      </c>
      <c r="L89" s="42" t="e">
        <f t="shared" ca="1" si="53"/>
        <v>#VALUE!</v>
      </c>
      <c r="M89" s="43" t="s">
        <v>7</v>
      </c>
      <c r="N89" s="44" t="str">
        <f t="shared" ca="1" si="54"/>
        <v>Serviço</v>
      </c>
      <c r="O89" s="45" t="e">
        <f t="shared" ca="1" si="55"/>
        <v>#VALUE!</v>
      </c>
      <c r="P89" s="46" t="s">
        <v>62</v>
      </c>
      <c r="Q89" s="47">
        <v>101894</v>
      </c>
      <c r="R89" s="48" t="s">
        <v>165</v>
      </c>
      <c r="S89" s="49" t="s">
        <v>85</v>
      </c>
      <c r="T89" s="50" t="e">
        <f ca="1">OFFSET([1]CÁLCULO!H$15,ROW($T89)-ROW(T$15),0)</f>
        <v>#VALUE!</v>
      </c>
      <c r="U89" s="51" t="e">
        <f t="shared" ca="1" si="23"/>
        <v>#VALUE!</v>
      </c>
      <c r="V89" s="52" t="s">
        <v>10</v>
      </c>
      <c r="W89" s="50" t="e">
        <f ca="1">IF($C89="S",ROUND(IF(TIPOORCAMENTO="Proposto",ORÇAMENTO.CustoUnitario*(1+$AH89),ORÇAMENTO.PrecoUnitarioLicitado),15-13*$AF$10),0)</f>
        <v>#VALUE!</v>
      </c>
      <c r="X89" s="53" t="e">
        <f t="shared" ca="1" si="42"/>
        <v>#VALUE!</v>
      </c>
      <c r="Y89" s="54" t="s">
        <v>63</v>
      </c>
      <c r="Z89" t="e">
        <f t="shared" ca="1" si="56"/>
        <v>#VALUE!</v>
      </c>
      <c r="AA89" s="55" t="e">
        <f ca="1">IF($C89="S",IF($Z89="CP",$X89,IF($Z89="RA",(($X89)*[1]QCI!$AA$3),0)),SomaAgrup)</f>
        <v>#VALUE!</v>
      </c>
      <c r="AB89" s="56" t="e">
        <f t="shared" ca="1" si="43"/>
        <v>#VALUE!</v>
      </c>
      <c r="AC89" s="57" t="e">
        <f ca="1">IF($N89="","",IF(ORÇAMENTO.Descricao="","DESCRIÇÃO",IF(AND($C89="S",ORÇAMENTO.Unidade=""),"UNIDADE",IF($X89&lt;0,"VALOR NEGATIVO",IF(OR(AND(TIPOORCAMENTO="Proposto",$AG89&lt;&gt;"",$AG89&gt;0,ORÇAMENTO.CustoUnitario&gt;$AG89),AND(TIPOORCAMENTO="LICITADO",ORÇAMENTO.PrecoUnitarioLicitado&gt;$AN89)),"ACIMA REF.","")))))</f>
        <v>#VALUE!</v>
      </c>
      <c r="AD89" t="str">
        <f ca="1">IF(C89&lt;=CRONO.NivelExibicao,MAX($AD$15:OFFSET(AD89,-1,0))+IF($C89&lt;&gt;1,1,MAX(1,COUNTIF([1]QCI!$A$13:$A$24,OFFSET($E89,-1,0)))),"")</f>
        <v/>
      </c>
      <c r="AE89" s="4" t="str">
        <f ca="1">IF(AND($C89="S",ORÇAMENTO.CodBarra&lt;&gt;""),IF(ORÇAMENTO.Fonte="",ORÇAMENTO.CodBarra,CONCATENATE(ORÇAMENTO.Fonte," ",ORÇAMENTO.CodBarra)))</f>
        <v>SINAPI 101894</v>
      </c>
      <c r="AF89" s="58" t="e">
        <f ca="1">IF(ISERROR(INDIRECT(ORÇAMENTO.BancoRef)),"(abra o arquivo 'Referência "&amp;Excel_BuiltIn_Database&amp;".xls)",IF(OR($C89&lt;&gt;"S",ORÇAMENTO.CodBarra=""),"(Sem Código)",IF(ISERROR(MATCH($AE89,INDIRECT(ORÇAMENTO.BancoRef),0)),"(Código não identificado nas referências)",MATCH($AE89,INDIRECT(ORÇAMENTO.BancoRef),0))))</f>
        <v>#VALUE!</v>
      </c>
      <c r="AG89" s="59" t="e">
        <f ca="1">ROUND(IF(DESONERACAO="sim",REFERENCIA.Desonerado,REFERENCIA.NaoDesonerado),2)</f>
        <v>#VALUE!</v>
      </c>
      <c r="AH89" s="60">
        <f t="shared" si="44"/>
        <v>0.2223</v>
      </c>
      <c r="AJ89" s="61">
        <v>1</v>
      </c>
      <c r="AL89" s="62"/>
      <c r="AM89" s="63" t="e">
        <f t="shared" ca="1" si="0"/>
        <v>#VALUE!</v>
      </c>
      <c r="AN89" s="64" t="e">
        <f t="shared" ca="1" si="45"/>
        <v>#VALUE!</v>
      </c>
    </row>
    <row r="90" spans="1:40" ht="38.25" x14ac:dyDescent="0.2">
      <c r="A90" t="str">
        <f t="shared" si="41"/>
        <v>S</v>
      </c>
      <c r="B90">
        <f t="shared" ca="1" si="46"/>
        <v>3</v>
      </c>
      <c r="C90" t="str">
        <f t="shared" ca="1" si="47"/>
        <v>S</v>
      </c>
      <c r="D90">
        <f t="shared" ca="1" si="48"/>
        <v>0</v>
      </c>
      <c r="E90" t="e">
        <f ca="1">IF($C90=1,OFFSET(E90,-1,0)+MAX(1,COUNTIF([1]QCI!$A$13:$A$24,OFFSET(ORÇAMENTO!E90,-1,0))),OFFSET(E90,-1,0))</f>
        <v>#VALUE!</v>
      </c>
      <c r="F90">
        <f t="shared" ca="1" si="49"/>
        <v>2</v>
      </c>
      <c r="G90">
        <f t="shared" ca="1" si="50"/>
        <v>6</v>
      </c>
      <c r="H90">
        <f t="shared" ca="1" si="51"/>
        <v>0</v>
      </c>
      <c r="I90" t="e">
        <f t="shared" ca="1" si="52"/>
        <v>#VALUE!</v>
      </c>
      <c r="J90">
        <f t="shared" ca="1" si="59"/>
        <v>0</v>
      </c>
      <c r="K90">
        <f ca="1">IF(OR($C90="S",$C90=0),0,MATCH(OFFSET($D90,0,$C90)+IF($C90&lt;&gt;1,1,COUNTIF([1]QCI!$A$13:$A$24,ORÇAMENTO!E90)),OFFSET($D90,1,$C90,ROW($C$145)-ROW($C90)),0))</f>
        <v>0</v>
      </c>
      <c r="L90" s="42" t="e">
        <f t="shared" ca="1" si="53"/>
        <v>#VALUE!</v>
      </c>
      <c r="M90" s="43" t="s">
        <v>7</v>
      </c>
      <c r="N90" s="44" t="str">
        <f t="shared" ca="1" si="54"/>
        <v>Serviço</v>
      </c>
      <c r="O90" s="45" t="e">
        <f t="shared" ca="1" si="55"/>
        <v>#VALUE!</v>
      </c>
      <c r="P90" s="46" t="s">
        <v>62</v>
      </c>
      <c r="Q90" s="47">
        <v>91836</v>
      </c>
      <c r="R90" s="48" t="s">
        <v>166</v>
      </c>
      <c r="S90" s="49" t="s">
        <v>167</v>
      </c>
      <c r="T90" s="50" t="e">
        <f ca="1">OFFSET([1]CÁLCULO!H$15,ROW($T90)-ROW(T$15),0)</f>
        <v>#VALUE!</v>
      </c>
      <c r="U90" s="51" t="e">
        <f t="shared" ca="1" si="23"/>
        <v>#VALUE!</v>
      </c>
      <c r="V90" s="52" t="s">
        <v>10</v>
      </c>
      <c r="W90" s="50" t="e">
        <f ca="1">IF($C90="S",ROUND(IF(TIPOORCAMENTO="Proposto",ORÇAMENTO.CustoUnitario*(1+$AH90),ORÇAMENTO.PrecoUnitarioLicitado),15-13*$AF$10),0)</f>
        <v>#VALUE!</v>
      </c>
      <c r="X90" s="53" t="e">
        <f t="shared" ca="1" si="42"/>
        <v>#VALUE!</v>
      </c>
      <c r="Y90" s="54" t="s">
        <v>63</v>
      </c>
      <c r="Z90" t="e">
        <f t="shared" ca="1" si="56"/>
        <v>#VALUE!</v>
      </c>
      <c r="AA90" s="55" t="e">
        <f ca="1">IF($C90="S",IF($Z90="CP",$X90,IF($Z90="RA",(($X90)*[1]QCI!$AA$3),0)),SomaAgrup)</f>
        <v>#VALUE!</v>
      </c>
      <c r="AB90" s="56" t="e">
        <f t="shared" ca="1" si="43"/>
        <v>#VALUE!</v>
      </c>
      <c r="AC90" s="57" t="e">
        <f ca="1">IF($N90="","",IF(ORÇAMENTO.Descricao="","DESCRIÇÃO",IF(AND($C90="S",ORÇAMENTO.Unidade=""),"UNIDADE",IF($X90&lt;0,"VALOR NEGATIVO",IF(OR(AND(TIPOORCAMENTO="Proposto",$AG90&lt;&gt;"",$AG90&gt;0,ORÇAMENTO.CustoUnitario&gt;$AG90),AND(TIPOORCAMENTO="LICITADO",ORÇAMENTO.PrecoUnitarioLicitado&gt;$AN90)),"ACIMA REF.","")))))</f>
        <v>#VALUE!</v>
      </c>
      <c r="AD90" t="str">
        <f ca="1">IF(C90&lt;=CRONO.NivelExibicao,MAX($AD$15:OFFSET(AD90,-1,0))+IF($C90&lt;&gt;1,1,MAX(1,COUNTIF([1]QCI!$A$13:$A$24,OFFSET($E90,-1,0)))),"")</f>
        <v/>
      </c>
      <c r="AE90" s="4" t="str">
        <f ca="1">IF(AND($C90="S",ORÇAMENTO.CodBarra&lt;&gt;""),IF(ORÇAMENTO.Fonte="",ORÇAMENTO.CodBarra,CONCATENATE(ORÇAMENTO.Fonte," ",ORÇAMENTO.CodBarra)))</f>
        <v>SINAPI 91836</v>
      </c>
      <c r="AF90" s="58" t="e">
        <f ca="1">IF(ISERROR(INDIRECT(ORÇAMENTO.BancoRef)),"(abra o arquivo 'Referência "&amp;Excel_BuiltIn_Database&amp;".xls)",IF(OR($C90&lt;&gt;"S",ORÇAMENTO.CodBarra=""),"(Sem Código)",IF(ISERROR(MATCH($AE90,INDIRECT(ORÇAMENTO.BancoRef),0)),"(Código não identificado nas referências)",MATCH($AE90,INDIRECT(ORÇAMENTO.BancoRef),0))))</f>
        <v>#VALUE!</v>
      </c>
      <c r="AG90" s="59" t="e">
        <f ca="1">ROUND(IF(DESONERACAO="sim",REFERENCIA.Desonerado,REFERENCIA.NaoDesonerado),2)</f>
        <v>#VALUE!</v>
      </c>
      <c r="AH90" s="60">
        <f t="shared" si="44"/>
        <v>0.2223</v>
      </c>
      <c r="AJ90" s="61">
        <v>150</v>
      </c>
      <c r="AL90" s="62"/>
      <c r="AM90" s="63" t="e">
        <f t="shared" ca="1" si="0"/>
        <v>#VALUE!</v>
      </c>
      <c r="AN90" s="64" t="e">
        <f t="shared" ca="1" si="45"/>
        <v>#VALUE!</v>
      </c>
    </row>
    <row r="91" spans="1:40" ht="38.25" x14ac:dyDescent="0.2">
      <c r="A91" t="str">
        <f t="shared" si="41"/>
        <v>S</v>
      </c>
      <c r="B91">
        <f t="shared" ca="1" si="46"/>
        <v>3</v>
      </c>
      <c r="C91" t="str">
        <f t="shared" ca="1" si="47"/>
        <v>S</v>
      </c>
      <c r="D91">
        <f t="shared" ca="1" si="48"/>
        <v>0</v>
      </c>
      <c r="E91" t="e">
        <f ca="1">IF($C91=1,OFFSET(E91,-1,0)+MAX(1,COUNTIF([1]QCI!$A$13:$A$24,OFFSET(ORÇAMENTO!E91,-1,0))),OFFSET(E91,-1,0))</f>
        <v>#VALUE!</v>
      </c>
      <c r="F91">
        <f t="shared" ca="1" si="49"/>
        <v>2</v>
      </c>
      <c r="G91">
        <f t="shared" ca="1" si="50"/>
        <v>6</v>
      </c>
      <c r="H91">
        <f t="shared" ca="1" si="51"/>
        <v>0</v>
      </c>
      <c r="I91" t="e">
        <f t="shared" ca="1" si="52"/>
        <v>#VALUE!</v>
      </c>
      <c r="J91">
        <f t="shared" ca="1" si="59"/>
        <v>0</v>
      </c>
      <c r="K91">
        <f ca="1">IF(OR($C91="S",$C91=0),0,MATCH(OFFSET($D91,0,$C91)+IF($C91&lt;&gt;1,1,COUNTIF([1]QCI!$A$13:$A$24,ORÇAMENTO!E91)),OFFSET($D91,1,$C91,ROW($C$145)-ROW($C91)),0))</f>
        <v>0</v>
      </c>
      <c r="L91" s="42" t="e">
        <f t="shared" ca="1" si="53"/>
        <v>#VALUE!</v>
      </c>
      <c r="M91" s="43" t="s">
        <v>7</v>
      </c>
      <c r="N91" s="44" t="str">
        <f t="shared" ca="1" si="54"/>
        <v>Serviço</v>
      </c>
      <c r="O91" s="45" t="e">
        <f t="shared" ca="1" si="55"/>
        <v>#VALUE!</v>
      </c>
      <c r="P91" s="46" t="s">
        <v>62</v>
      </c>
      <c r="Q91" s="47">
        <v>91929</v>
      </c>
      <c r="R91" s="48" t="s">
        <v>168</v>
      </c>
      <c r="S91" s="49" t="s">
        <v>167</v>
      </c>
      <c r="T91" s="50" t="e">
        <f ca="1">OFFSET([1]CÁLCULO!H$15,ROW($T91)-ROW(T$15),0)</f>
        <v>#VALUE!</v>
      </c>
      <c r="U91" s="51" t="e">
        <f t="shared" ca="1" si="23"/>
        <v>#VALUE!</v>
      </c>
      <c r="V91" s="52" t="s">
        <v>10</v>
      </c>
      <c r="W91" s="50" t="e">
        <f ca="1">IF($C91="S",ROUND(IF(TIPOORCAMENTO="Proposto",ORÇAMENTO.CustoUnitario*(1+$AH91),ORÇAMENTO.PrecoUnitarioLicitado),15-13*$AF$10),0)</f>
        <v>#VALUE!</v>
      </c>
      <c r="X91" s="53" t="e">
        <f t="shared" ca="1" si="42"/>
        <v>#VALUE!</v>
      </c>
      <c r="Y91" s="54" t="s">
        <v>63</v>
      </c>
      <c r="Z91" t="e">
        <f t="shared" ca="1" si="56"/>
        <v>#VALUE!</v>
      </c>
      <c r="AA91" s="55" t="e">
        <f ca="1">IF($C91="S",IF($Z91="CP",$X91,IF($Z91="RA",(($X91)*[1]QCI!$AA$3),0)),SomaAgrup)</f>
        <v>#VALUE!</v>
      </c>
      <c r="AB91" s="56" t="e">
        <f t="shared" ca="1" si="43"/>
        <v>#VALUE!</v>
      </c>
      <c r="AC91" s="57" t="e">
        <f ca="1">IF($N91="","",IF(ORÇAMENTO.Descricao="","DESCRIÇÃO",IF(AND($C91="S",ORÇAMENTO.Unidade=""),"UNIDADE",IF($X91&lt;0,"VALOR NEGATIVO",IF(OR(AND(TIPOORCAMENTO="Proposto",$AG91&lt;&gt;"",$AG91&gt;0,ORÇAMENTO.CustoUnitario&gt;$AG91),AND(TIPOORCAMENTO="LICITADO",ORÇAMENTO.PrecoUnitarioLicitado&gt;$AN91)),"ACIMA REF.","")))))</f>
        <v>#VALUE!</v>
      </c>
      <c r="AD91" t="str">
        <f ca="1">IF(C91&lt;=CRONO.NivelExibicao,MAX($AD$15:OFFSET(AD91,-1,0))+IF($C91&lt;&gt;1,1,MAX(1,COUNTIF([1]QCI!$A$13:$A$24,OFFSET($E91,-1,0)))),"")</f>
        <v/>
      </c>
      <c r="AE91" s="4" t="str">
        <f ca="1">IF(AND($C91="S",ORÇAMENTO.CodBarra&lt;&gt;""),IF(ORÇAMENTO.Fonte="",ORÇAMENTO.CodBarra,CONCATENATE(ORÇAMENTO.Fonte," ",ORÇAMENTO.CodBarra)))</f>
        <v>SINAPI 91929</v>
      </c>
      <c r="AF91" s="58" t="e">
        <f ca="1">IF(ISERROR(INDIRECT(ORÇAMENTO.BancoRef)),"(abra o arquivo 'Referência "&amp;Excel_BuiltIn_Database&amp;".xls)",IF(OR($C91&lt;&gt;"S",ORÇAMENTO.CodBarra=""),"(Sem Código)",IF(ISERROR(MATCH($AE91,INDIRECT(ORÇAMENTO.BancoRef),0)),"(Código não identificado nas referências)",MATCH($AE91,INDIRECT(ORÇAMENTO.BancoRef),0))))</f>
        <v>#VALUE!</v>
      </c>
      <c r="AG91" s="59" t="e">
        <f ca="1">ROUND(IF(DESONERACAO="sim",REFERENCIA.Desonerado,REFERENCIA.NaoDesonerado),2)</f>
        <v>#VALUE!</v>
      </c>
      <c r="AH91" s="60">
        <f t="shared" si="44"/>
        <v>0.2223</v>
      </c>
      <c r="AJ91" s="61">
        <v>560</v>
      </c>
      <c r="AL91" s="62"/>
      <c r="AM91" s="63" t="e">
        <f t="shared" ca="1" si="0"/>
        <v>#VALUE!</v>
      </c>
      <c r="AN91" s="64" t="e">
        <f t="shared" ca="1" si="45"/>
        <v>#VALUE!</v>
      </c>
    </row>
    <row r="92" spans="1:40" ht="38.25" x14ac:dyDescent="0.2">
      <c r="A92" t="str">
        <f t="shared" si="41"/>
        <v>S</v>
      </c>
      <c r="B92">
        <f t="shared" ca="1" si="46"/>
        <v>3</v>
      </c>
      <c r="C92" t="str">
        <f t="shared" ca="1" si="47"/>
        <v>S</v>
      </c>
      <c r="D92">
        <f t="shared" ca="1" si="48"/>
        <v>0</v>
      </c>
      <c r="E92" t="e">
        <f ca="1">IF($C92=1,OFFSET(E92,-1,0)+MAX(1,COUNTIF([1]QCI!$A$13:$A$24,OFFSET(ORÇAMENTO!E92,-1,0))),OFFSET(E92,-1,0))</f>
        <v>#VALUE!</v>
      </c>
      <c r="F92">
        <f t="shared" ca="1" si="49"/>
        <v>2</v>
      </c>
      <c r="G92">
        <f t="shared" ca="1" si="50"/>
        <v>6</v>
      </c>
      <c r="H92">
        <f t="shared" ca="1" si="51"/>
        <v>0</v>
      </c>
      <c r="I92" t="e">
        <f t="shared" ca="1" si="52"/>
        <v>#VALUE!</v>
      </c>
      <c r="J92">
        <f t="shared" ca="1" si="59"/>
        <v>0</v>
      </c>
      <c r="K92">
        <f ca="1">IF(OR($C92="S",$C92=0),0,MATCH(OFFSET($D92,0,$C92)+IF($C92&lt;&gt;1,1,COUNTIF([1]QCI!$A$13:$A$24,ORÇAMENTO!E92)),OFFSET($D92,1,$C92,ROW($C$145)-ROW($C92)),0))</f>
        <v>0</v>
      </c>
      <c r="L92" s="42" t="e">
        <f t="shared" ca="1" si="53"/>
        <v>#VALUE!</v>
      </c>
      <c r="M92" s="43" t="s">
        <v>7</v>
      </c>
      <c r="N92" s="44" t="str">
        <f t="shared" ca="1" si="54"/>
        <v>Serviço</v>
      </c>
      <c r="O92" s="45" t="e">
        <f t="shared" ca="1" si="55"/>
        <v>#VALUE!</v>
      </c>
      <c r="P92" s="46" t="s">
        <v>62</v>
      </c>
      <c r="Q92" s="47">
        <v>91933</v>
      </c>
      <c r="R92" s="48" t="s">
        <v>169</v>
      </c>
      <c r="S92" s="49" t="s">
        <v>167</v>
      </c>
      <c r="T92" s="50" t="e">
        <f ca="1">OFFSET([1]CÁLCULO!H$15,ROW($T92)-ROW(T$15),0)</f>
        <v>#VALUE!</v>
      </c>
      <c r="U92" s="51" t="e">
        <f t="shared" ca="1" si="23"/>
        <v>#VALUE!</v>
      </c>
      <c r="V92" s="52" t="s">
        <v>10</v>
      </c>
      <c r="W92" s="50" t="e">
        <f ca="1">IF($C92="S",ROUND(IF(TIPOORCAMENTO="Proposto",ORÇAMENTO.CustoUnitario*(1+$AH92),ORÇAMENTO.PrecoUnitarioLicitado),15-13*$AF$10),0)</f>
        <v>#VALUE!</v>
      </c>
      <c r="X92" s="53" t="e">
        <f t="shared" ca="1" si="42"/>
        <v>#VALUE!</v>
      </c>
      <c r="Y92" s="54" t="s">
        <v>63</v>
      </c>
      <c r="Z92" t="e">
        <f t="shared" ca="1" si="56"/>
        <v>#VALUE!</v>
      </c>
      <c r="AA92" s="55" t="e">
        <f ca="1">IF($C92="S",IF($Z92="CP",$X92,IF($Z92="RA",(($X92)*[1]QCI!$AA$3),0)),SomaAgrup)</f>
        <v>#VALUE!</v>
      </c>
      <c r="AB92" s="56" t="e">
        <f t="shared" ca="1" si="43"/>
        <v>#VALUE!</v>
      </c>
      <c r="AC92" s="57" t="e">
        <f ca="1">IF($N92="","",IF(ORÇAMENTO.Descricao="","DESCRIÇÃO",IF(AND($C92="S",ORÇAMENTO.Unidade=""),"UNIDADE",IF($X92&lt;0,"VALOR NEGATIVO",IF(OR(AND(TIPOORCAMENTO="Proposto",$AG92&lt;&gt;"",$AG92&gt;0,ORÇAMENTO.CustoUnitario&gt;$AG92),AND(TIPOORCAMENTO="LICITADO",ORÇAMENTO.PrecoUnitarioLicitado&gt;$AN92)),"ACIMA REF.","")))))</f>
        <v>#VALUE!</v>
      </c>
      <c r="AD92" t="str">
        <f ca="1">IF(C92&lt;=CRONO.NivelExibicao,MAX($AD$15:OFFSET(AD92,-1,0))+IF($C92&lt;&gt;1,1,MAX(1,COUNTIF([1]QCI!$A$13:$A$24,OFFSET($E92,-1,0)))),"")</f>
        <v/>
      </c>
      <c r="AE92" s="4" t="str">
        <f ca="1">IF(AND($C92="S",ORÇAMENTO.CodBarra&lt;&gt;""),IF(ORÇAMENTO.Fonte="",ORÇAMENTO.CodBarra,CONCATENATE(ORÇAMENTO.Fonte," ",ORÇAMENTO.CodBarra)))</f>
        <v>SINAPI 91933</v>
      </c>
      <c r="AF92" s="58" t="e">
        <f ca="1">IF(ISERROR(INDIRECT(ORÇAMENTO.BancoRef)),"(abra o arquivo 'Referência "&amp;Excel_BuiltIn_Database&amp;".xls)",IF(OR($C92&lt;&gt;"S",ORÇAMENTO.CodBarra=""),"(Sem Código)",IF(ISERROR(MATCH($AE92,INDIRECT(ORÇAMENTO.BancoRef),0)),"(Código não identificado nas referências)",MATCH($AE92,INDIRECT(ORÇAMENTO.BancoRef),0))))</f>
        <v>#VALUE!</v>
      </c>
      <c r="AG92" s="59" t="e">
        <f ca="1">ROUND(IF(DESONERACAO="sim",REFERENCIA.Desonerado,REFERENCIA.NaoDesonerado),2)</f>
        <v>#VALUE!</v>
      </c>
      <c r="AH92" s="60">
        <f t="shared" si="44"/>
        <v>0.2223</v>
      </c>
      <c r="AJ92" s="61">
        <v>100</v>
      </c>
      <c r="AL92" s="62"/>
      <c r="AM92" s="63" t="e">
        <f t="shared" ca="1" si="0"/>
        <v>#VALUE!</v>
      </c>
      <c r="AN92" s="64" t="e">
        <f t="shared" ca="1" si="45"/>
        <v>#VALUE!</v>
      </c>
    </row>
    <row r="93" spans="1:40" ht="25.5" x14ac:dyDescent="0.2">
      <c r="A93" t="str">
        <f t="shared" si="41"/>
        <v>S</v>
      </c>
      <c r="B93">
        <f t="shared" ca="1" si="46"/>
        <v>3</v>
      </c>
      <c r="C93" t="str">
        <f t="shared" ca="1" si="47"/>
        <v>S</v>
      </c>
      <c r="D93">
        <f t="shared" ca="1" si="48"/>
        <v>0</v>
      </c>
      <c r="E93" t="e">
        <f ca="1">IF($C93=1,OFFSET(E93,-1,0)+MAX(1,COUNTIF([1]QCI!$A$13:$A$24,OFFSET(ORÇAMENTO!E93,-1,0))),OFFSET(E93,-1,0))</f>
        <v>#VALUE!</v>
      </c>
      <c r="F93">
        <f t="shared" ca="1" si="49"/>
        <v>2</v>
      </c>
      <c r="G93">
        <f t="shared" ca="1" si="50"/>
        <v>6</v>
      </c>
      <c r="H93">
        <f t="shared" ca="1" si="51"/>
        <v>0</v>
      </c>
      <c r="I93" t="e">
        <f t="shared" ca="1" si="52"/>
        <v>#VALUE!</v>
      </c>
      <c r="J93">
        <f t="shared" ca="1" si="59"/>
        <v>0</v>
      </c>
      <c r="K93">
        <f ca="1">IF(OR($C93="S",$C93=0),0,MATCH(OFFSET($D93,0,$C93)+IF($C93&lt;&gt;1,1,COUNTIF([1]QCI!$A$13:$A$24,ORÇAMENTO!E93)),OFFSET($D93,1,$C93,ROW($C$145)-ROW($C93)),0))</f>
        <v>0</v>
      </c>
      <c r="L93" s="42" t="e">
        <f t="shared" ca="1" si="53"/>
        <v>#VALUE!</v>
      </c>
      <c r="M93" s="43" t="s">
        <v>7</v>
      </c>
      <c r="N93" s="44" t="str">
        <f t="shared" ca="1" si="54"/>
        <v>Serviço</v>
      </c>
      <c r="O93" s="45" t="e">
        <f t="shared" ca="1" si="55"/>
        <v>#VALUE!</v>
      </c>
      <c r="P93" s="46" t="s">
        <v>62</v>
      </c>
      <c r="Q93" s="47">
        <v>91953</v>
      </c>
      <c r="R93" s="48" t="s">
        <v>170</v>
      </c>
      <c r="S93" s="49" t="s">
        <v>85</v>
      </c>
      <c r="T93" s="50" t="e">
        <f ca="1">OFFSET([1]CÁLCULO!H$15,ROW($T93)-ROW(T$15),0)</f>
        <v>#VALUE!</v>
      </c>
      <c r="U93" s="51" t="e">
        <f t="shared" ca="1" si="23"/>
        <v>#VALUE!</v>
      </c>
      <c r="V93" s="52" t="s">
        <v>10</v>
      </c>
      <c r="W93" s="50" t="e">
        <f ca="1">IF($C93="S",ROUND(IF(TIPOORCAMENTO="Proposto",ORÇAMENTO.CustoUnitario*(1+$AH93),ORÇAMENTO.PrecoUnitarioLicitado),15-13*$AF$10),0)</f>
        <v>#VALUE!</v>
      </c>
      <c r="X93" s="53" t="e">
        <f t="shared" ca="1" si="42"/>
        <v>#VALUE!</v>
      </c>
      <c r="Y93" s="54" t="s">
        <v>63</v>
      </c>
      <c r="Z93" t="e">
        <f t="shared" ca="1" si="56"/>
        <v>#VALUE!</v>
      </c>
      <c r="AA93" s="55" t="e">
        <f ca="1">IF($C93="S",IF($Z93="CP",$X93,IF($Z93="RA",(($X93)*[1]QCI!$AA$3),0)),SomaAgrup)</f>
        <v>#VALUE!</v>
      </c>
      <c r="AB93" s="56" t="e">
        <f t="shared" ca="1" si="43"/>
        <v>#VALUE!</v>
      </c>
      <c r="AC93" s="57" t="e">
        <f ca="1">IF($N93="","",IF(ORÇAMENTO.Descricao="","DESCRIÇÃO",IF(AND($C93="S",ORÇAMENTO.Unidade=""),"UNIDADE",IF($X93&lt;0,"VALOR NEGATIVO",IF(OR(AND(TIPOORCAMENTO="Proposto",$AG93&lt;&gt;"",$AG93&gt;0,ORÇAMENTO.CustoUnitario&gt;$AG93),AND(TIPOORCAMENTO="LICITADO",ORÇAMENTO.PrecoUnitarioLicitado&gt;$AN93)),"ACIMA REF.","")))))</f>
        <v>#VALUE!</v>
      </c>
      <c r="AD93" t="str">
        <f ca="1">IF(C93&lt;=CRONO.NivelExibicao,MAX($AD$15:OFFSET(AD93,-1,0))+IF($C93&lt;&gt;1,1,MAX(1,COUNTIF([1]QCI!$A$13:$A$24,OFFSET($E93,-1,0)))),"")</f>
        <v/>
      </c>
      <c r="AE93" s="4" t="str">
        <f ca="1">IF(AND($C93="S",ORÇAMENTO.CodBarra&lt;&gt;""),IF(ORÇAMENTO.Fonte="",ORÇAMENTO.CodBarra,CONCATENATE(ORÇAMENTO.Fonte," ",ORÇAMENTO.CodBarra)))</f>
        <v>SINAPI 91953</v>
      </c>
      <c r="AF93" s="58" t="e">
        <f ca="1">IF(ISERROR(INDIRECT(ORÇAMENTO.BancoRef)),"(abra o arquivo 'Referência "&amp;Excel_BuiltIn_Database&amp;".xls)",IF(OR($C93&lt;&gt;"S",ORÇAMENTO.CodBarra=""),"(Sem Código)",IF(ISERROR(MATCH($AE93,INDIRECT(ORÇAMENTO.BancoRef),0)),"(Código não identificado nas referências)",MATCH($AE93,INDIRECT(ORÇAMENTO.BancoRef),0))))</f>
        <v>#VALUE!</v>
      </c>
      <c r="AG93" s="59" t="e">
        <f ca="1">ROUND(IF(DESONERACAO="sim",REFERENCIA.Desonerado,REFERENCIA.NaoDesonerado),2)</f>
        <v>#VALUE!</v>
      </c>
      <c r="AH93" s="60">
        <f t="shared" si="44"/>
        <v>0.2223</v>
      </c>
      <c r="AJ93" s="61">
        <v>8</v>
      </c>
      <c r="AL93" s="62"/>
      <c r="AM93" s="63" t="e">
        <f t="shared" ca="1" si="0"/>
        <v>#VALUE!</v>
      </c>
      <c r="AN93" s="64" t="e">
        <f t="shared" ca="1" si="45"/>
        <v>#VALUE!</v>
      </c>
    </row>
    <row r="94" spans="1:40" ht="25.5" x14ac:dyDescent="0.2">
      <c r="A94" t="str">
        <f t="shared" si="41"/>
        <v>S</v>
      </c>
      <c r="B94">
        <f t="shared" ca="1" si="46"/>
        <v>3</v>
      </c>
      <c r="C94" t="str">
        <f t="shared" ca="1" si="47"/>
        <v>S</v>
      </c>
      <c r="D94">
        <f t="shared" ca="1" si="48"/>
        <v>0</v>
      </c>
      <c r="E94" t="e">
        <f ca="1">IF($C94=1,OFFSET(E94,-1,0)+MAX(1,COUNTIF([1]QCI!$A$13:$A$24,OFFSET(ORÇAMENTO!E94,-1,0))),OFFSET(E94,-1,0))</f>
        <v>#VALUE!</v>
      </c>
      <c r="F94">
        <f t="shared" ca="1" si="49"/>
        <v>2</v>
      </c>
      <c r="G94">
        <f t="shared" ca="1" si="50"/>
        <v>6</v>
      </c>
      <c r="H94">
        <f t="shared" ca="1" si="51"/>
        <v>0</v>
      </c>
      <c r="I94" t="e">
        <f t="shared" ca="1" si="52"/>
        <v>#VALUE!</v>
      </c>
      <c r="J94">
        <f t="shared" ca="1" si="59"/>
        <v>0</v>
      </c>
      <c r="K94">
        <f ca="1">IF(OR($C94="S",$C94=0),0,MATCH(OFFSET($D94,0,$C94)+IF($C94&lt;&gt;1,1,COUNTIF([1]QCI!$A$13:$A$24,ORÇAMENTO!E94)),OFFSET($D94,1,$C94,ROW($C$145)-ROW($C94)),0))</f>
        <v>0</v>
      </c>
      <c r="L94" s="42" t="e">
        <f t="shared" ca="1" si="53"/>
        <v>#VALUE!</v>
      </c>
      <c r="M94" s="43" t="s">
        <v>7</v>
      </c>
      <c r="N94" s="44" t="str">
        <f t="shared" ca="1" si="54"/>
        <v>Serviço</v>
      </c>
      <c r="O94" s="45" t="e">
        <f t="shared" ca="1" si="55"/>
        <v>#VALUE!</v>
      </c>
      <c r="P94" s="46" t="s">
        <v>62</v>
      </c>
      <c r="Q94" s="47">
        <v>91992</v>
      </c>
      <c r="R94" s="48" t="s">
        <v>171</v>
      </c>
      <c r="S94" s="49" t="s">
        <v>85</v>
      </c>
      <c r="T94" s="50" t="e">
        <f ca="1">OFFSET([1]CÁLCULO!H$15,ROW($T94)-ROW(T$15),0)</f>
        <v>#VALUE!</v>
      </c>
      <c r="U94" s="51" t="e">
        <f t="shared" ca="1" si="23"/>
        <v>#VALUE!</v>
      </c>
      <c r="V94" s="52" t="s">
        <v>10</v>
      </c>
      <c r="W94" s="50" t="e">
        <f ca="1">IF($C94="S",ROUND(IF(TIPOORCAMENTO="Proposto",ORÇAMENTO.CustoUnitario*(1+$AH94),ORÇAMENTO.PrecoUnitarioLicitado),15-13*$AF$10),0)</f>
        <v>#VALUE!</v>
      </c>
      <c r="X94" s="53" t="e">
        <f t="shared" ca="1" si="42"/>
        <v>#VALUE!</v>
      </c>
      <c r="Y94" s="54" t="s">
        <v>63</v>
      </c>
      <c r="Z94" t="e">
        <f t="shared" ca="1" si="56"/>
        <v>#VALUE!</v>
      </c>
      <c r="AA94" s="55" t="e">
        <f ca="1">IF($C94="S",IF($Z94="CP",$X94,IF($Z94="RA",(($X94)*[1]QCI!$AA$3),0)),SomaAgrup)</f>
        <v>#VALUE!</v>
      </c>
      <c r="AB94" s="56" t="e">
        <f t="shared" ca="1" si="43"/>
        <v>#VALUE!</v>
      </c>
      <c r="AC94" s="57" t="e">
        <f ca="1">IF($N94="","",IF(ORÇAMENTO.Descricao="","DESCRIÇÃO",IF(AND($C94="S",ORÇAMENTO.Unidade=""),"UNIDADE",IF($X94&lt;0,"VALOR NEGATIVO",IF(OR(AND(TIPOORCAMENTO="Proposto",$AG94&lt;&gt;"",$AG94&gt;0,ORÇAMENTO.CustoUnitario&gt;$AG94),AND(TIPOORCAMENTO="LICITADO",ORÇAMENTO.PrecoUnitarioLicitado&gt;$AN94)),"ACIMA REF.","")))))</f>
        <v>#VALUE!</v>
      </c>
      <c r="AD94" t="str">
        <f ca="1">IF(C94&lt;=CRONO.NivelExibicao,MAX($AD$15:OFFSET(AD94,-1,0))+IF($C94&lt;&gt;1,1,MAX(1,COUNTIF([1]QCI!$A$13:$A$24,OFFSET($E94,-1,0)))),"")</f>
        <v/>
      </c>
      <c r="AE94" s="4" t="str">
        <f ca="1">IF(AND($C94="S",ORÇAMENTO.CodBarra&lt;&gt;""),IF(ORÇAMENTO.Fonte="",ORÇAMENTO.CodBarra,CONCATENATE(ORÇAMENTO.Fonte," ",ORÇAMENTO.CodBarra)))</f>
        <v>SINAPI 91992</v>
      </c>
      <c r="AF94" s="58" t="e">
        <f ca="1">IF(ISERROR(INDIRECT(ORÇAMENTO.BancoRef)),"(abra o arquivo 'Referência "&amp;Excel_BuiltIn_Database&amp;".xls)",IF(OR($C94&lt;&gt;"S",ORÇAMENTO.CodBarra=""),"(Sem Código)",IF(ISERROR(MATCH($AE94,INDIRECT(ORÇAMENTO.BancoRef),0)),"(Código não identificado nas referências)",MATCH($AE94,INDIRECT(ORÇAMENTO.BancoRef),0))))</f>
        <v>#VALUE!</v>
      </c>
      <c r="AG94" s="59" t="e">
        <f ca="1">ROUND(IF(DESONERACAO="sim",REFERENCIA.Desonerado,REFERENCIA.NaoDesonerado),2)</f>
        <v>#VALUE!</v>
      </c>
      <c r="AH94" s="60">
        <f t="shared" si="44"/>
        <v>0.2223</v>
      </c>
      <c r="AJ94" s="61">
        <v>22</v>
      </c>
      <c r="AL94" s="62"/>
      <c r="AM94" s="63" t="e">
        <f t="shared" ca="1" si="0"/>
        <v>#VALUE!</v>
      </c>
      <c r="AN94" s="64" t="e">
        <f t="shared" ca="1" si="45"/>
        <v>#VALUE!</v>
      </c>
    </row>
    <row r="95" spans="1:40" ht="25.5" x14ac:dyDescent="0.2">
      <c r="A95" t="str">
        <f t="shared" si="41"/>
        <v>S</v>
      </c>
      <c r="B95">
        <f t="shared" ca="1" si="46"/>
        <v>3</v>
      </c>
      <c r="C95" t="str">
        <f t="shared" ca="1" si="47"/>
        <v>S</v>
      </c>
      <c r="D95">
        <f t="shared" ca="1" si="48"/>
        <v>0</v>
      </c>
      <c r="E95" t="e">
        <f ca="1">IF($C95=1,OFFSET(E95,-1,0)+MAX(1,COUNTIF([1]QCI!$A$13:$A$24,OFFSET(ORÇAMENTO!E95,-1,0))),OFFSET(E95,-1,0))</f>
        <v>#VALUE!</v>
      </c>
      <c r="F95">
        <f t="shared" ca="1" si="49"/>
        <v>2</v>
      </c>
      <c r="G95">
        <f t="shared" ca="1" si="50"/>
        <v>6</v>
      </c>
      <c r="H95">
        <f t="shared" ca="1" si="51"/>
        <v>0</v>
      </c>
      <c r="I95" t="e">
        <f t="shared" ca="1" si="52"/>
        <v>#VALUE!</v>
      </c>
      <c r="J95">
        <f t="shared" ca="1" si="59"/>
        <v>0</v>
      </c>
      <c r="K95">
        <f ca="1">IF(OR($C95="S",$C95=0),0,MATCH(OFFSET($D95,0,$C95)+IF($C95&lt;&gt;1,1,COUNTIF([1]QCI!$A$13:$A$24,ORÇAMENTO!E95)),OFFSET($D95,1,$C95,ROW($C$145)-ROW($C95)),0))</f>
        <v>0</v>
      </c>
      <c r="L95" s="42" t="e">
        <f t="shared" ca="1" si="53"/>
        <v>#VALUE!</v>
      </c>
      <c r="M95" s="43" t="s">
        <v>7</v>
      </c>
      <c r="N95" s="44" t="str">
        <f t="shared" ca="1" si="54"/>
        <v>Serviço</v>
      </c>
      <c r="O95" s="45" t="e">
        <f t="shared" ca="1" si="55"/>
        <v>#VALUE!</v>
      </c>
      <c r="P95" s="46" t="s">
        <v>62</v>
      </c>
      <c r="Q95" s="47">
        <v>91997</v>
      </c>
      <c r="R95" s="48" t="s">
        <v>172</v>
      </c>
      <c r="S95" s="49" t="s">
        <v>85</v>
      </c>
      <c r="T95" s="50" t="e">
        <f ca="1">OFFSET([1]CÁLCULO!H$15,ROW($T95)-ROW(T$15),0)</f>
        <v>#VALUE!</v>
      </c>
      <c r="U95" s="51" t="e">
        <f t="shared" ca="1" si="23"/>
        <v>#VALUE!</v>
      </c>
      <c r="V95" s="52" t="s">
        <v>10</v>
      </c>
      <c r="W95" s="50" t="e">
        <f ca="1">IF($C95="S",ROUND(IF(TIPOORCAMENTO="Proposto",ORÇAMENTO.CustoUnitario*(1+$AH95),ORÇAMENTO.PrecoUnitarioLicitado),15-13*$AF$10),0)</f>
        <v>#VALUE!</v>
      </c>
      <c r="X95" s="53" t="e">
        <f t="shared" ca="1" si="42"/>
        <v>#VALUE!</v>
      </c>
      <c r="Y95" s="54" t="s">
        <v>63</v>
      </c>
      <c r="Z95" t="e">
        <f t="shared" ca="1" si="56"/>
        <v>#VALUE!</v>
      </c>
      <c r="AA95" s="55" t="e">
        <f ca="1">IF($C95="S",IF($Z95="CP",$X95,IF($Z95="RA",(($X95)*[1]QCI!$AA$3),0)),SomaAgrup)</f>
        <v>#VALUE!</v>
      </c>
      <c r="AB95" s="56" t="e">
        <f t="shared" ca="1" si="43"/>
        <v>#VALUE!</v>
      </c>
      <c r="AC95" s="57" t="e">
        <f ca="1">IF($N95="","",IF(ORÇAMENTO.Descricao="","DESCRIÇÃO",IF(AND($C95="S",ORÇAMENTO.Unidade=""),"UNIDADE",IF($X95&lt;0,"VALOR NEGATIVO",IF(OR(AND(TIPOORCAMENTO="Proposto",$AG95&lt;&gt;"",$AG95&gt;0,ORÇAMENTO.CustoUnitario&gt;$AG95),AND(TIPOORCAMENTO="LICITADO",ORÇAMENTO.PrecoUnitarioLicitado&gt;$AN95)),"ACIMA REF.","")))))</f>
        <v>#VALUE!</v>
      </c>
      <c r="AD95" t="str">
        <f ca="1">IF(C95&lt;=CRONO.NivelExibicao,MAX($AD$15:OFFSET(AD95,-1,0))+IF($C95&lt;&gt;1,1,MAX(1,COUNTIF([1]QCI!$A$13:$A$24,OFFSET($E95,-1,0)))),"")</f>
        <v/>
      </c>
      <c r="AE95" s="4" t="str">
        <f ca="1">IF(AND($C95="S",ORÇAMENTO.CodBarra&lt;&gt;""),IF(ORÇAMENTO.Fonte="",ORÇAMENTO.CodBarra,CONCATENATE(ORÇAMENTO.Fonte," ",ORÇAMENTO.CodBarra)))</f>
        <v>SINAPI 91997</v>
      </c>
      <c r="AF95" s="58" t="e">
        <f ca="1">IF(ISERROR(INDIRECT(ORÇAMENTO.BancoRef)),"(abra o arquivo 'Referência "&amp;Excel_BuiltIn_Database&amp;".xls)",IF(OR($C95&lt;&gt;"S",ORÇAMENTO.CodBarra=""),"(Sem Código)",IF(ISERROR(MATCH($AE95,INDIRECT(ORÇAMENTO.BancoRef),0)),"(Código não identificado nas referências)",MATCH($AE95,INDIRECT(ORÇAMENTO.BancoRef),0))))</f>
        <v>#VALUE!</v>
      </c>
      <c r="AG95" s="59" t="e">
        <f ca="1">ROUND(IF(DESONERACAO="sim",REFERENCIA.Desonerado,REFERENCIA.NaoDesonerado),2)</f>
        <v>#VALUE!</v>
      </c>
      <c r="AH95" s="60">
        <f t="shared" si="44"/>
        <v>0.2223</v>
      </c>
      <c r="AJ95" s="61">
        <v>12</v>
      </c>
      <c r="AL95" s="62"/>
      <c r="AM95" s="63" t="e">
        <f t="shared" ca="1" si="0"/>
        <v>#VALUE!</v>
      </c>
      <c r="AN95" s="64" t="e">
        <f t="shared" ca="1" si="45"/>
        <v>#VALUE!</v>
      </c>
    </row>
    <row r="96" spans="1:40" ht="25.5" x14ac:dyDescent="0.2">
      <c r="A96" t="str">
        <f t="shared" si="41"/>
        <v>S</v>
      </c>
      <c r="B96">
        <f t="shared" ca="1" si="46"/>
        <v>3</v>
      </c>
      <c r="C96" t="str">
        <f t="shared" ca="1" si="47"/>
        <v>S</v>
      </c>
      <c r="D96">
        <f t="shared" ca="1" si="48"/>
        <v>0</v>
      </c>
      <c r="E96" t="e">
        <f ca="1">IF($C96=1,OFFSET(E96,-1,0)+MAX(1,COUNTIF([1]QCI!$A$13:$A$24,OFFSET(ORÇAMENTO!E96,-1,0))),OFFSET(E96,-1,0))</f>
        <v>#VALUE!</v>
      </c>
      <c r="F96">
        <f t="shared" ca="1" si="49"/>
        <v>2</v>
      </c>
      <c r="G96">
        <f t="shared" ca="1" si="50"/>
        <v>6</v>
      </c>
      <c r="H96">
        <f t="shared" ca="1" si="51"/>
        <v>0</v>
      </c>
      <c r="I96" t="e">
        <f t="shared" ca="1" si="52"/>
        <v>#VALUE!</v>
      </c>
      <c r="J96">
        <f t="shared" ca="1" si="59"/>
        <v>0</v>
      </c>
      <c r="K96">
        <f ca="1">IF(OR($C96="S",$C96=0),0,MATCH(OFFSET($D96,0,$C96)+IF($C96&lt;&gt;1,1,COUNTIF([1]QCI!$A$13:$A$24,ORÇAMENTO!E96)),OFFSET($D96,1,$C96,ROW($C$145)-ROW($C96)),0))</f>
        <v>0</v>
      </c>
      <c r="L96" s="42" t="e">
        <f t="shared" ca="1" si="53"/>
        <v>#VALUE!</v>
      </c>
      <c r="M96" s="43" t="s">
        <v>7</v>
      </c>
      <c r="N96" s="44" t="str">
        <f t="shared" ca="1" si="54"/>
        <v>Serviço</v>
      </c>
      <c r="O96" s="45" t="e">
        <f t="shared" ca="1" si="55"/>
        <v>#VALUE!</v>
      </c>
      <c r="P96" s="46" t="s">
        <v>62</v>
      </c>
      <c r="Q96" s="47">
        <v>92000</v>
      </c>
      <c r="R96" s="48" t="s">
        <v>173</v>
      </c>
      <c r="S96" s="49" t="s">
        <v>85</v>
      </c>
      <c r="T96" s="50" t="e">
        <f ca="1">OFFSET([1]CÁLCULO!H$15,ROW($T96)-ROW(T$15),0)</f>
        <v>#VALUE!</v>
      </c>
      <c r="U96" s="51" t="e">
        <f t="shared" ca="1" si="23"/>
        <v>#VALUE!</v>
      </c>
      <c r="V96" s="52" t="s">
        <v>10</v>
      </c>
      <c r="W96" s="50" t="e">
        <f ca="1">IF($C96="S",ROUND(IF(TIPOORCAMENTO="Proposto",ORÇAMENTO.CustoUnitario*(1+$AH96),ORÇAMENTO.PrecoUnitarioLicitado),15-13*$AF$10),0)</f>
        <v>#VALUE!</v>
      </c>
      <c r="X96" s="53" t="e">
        <f t="shared" ca="1" si="42"/>
        <v>#VALUE!</v>
      </c>
      <c r="Y96" s="54" t="s">
        <v>63</v>
      </c>
      <c r="Z96" t="e">
        <f t="shared" ca="1" si="56"/>
        <v>#VALUE!</v>
      </c>
      <c r="AA96" s="55" t="e">
        <f ca="1">IF($C96="S",IF($Z96="CP",$X96,IF($Z96="RA",(($X96)*[1]QCI!$AA$3),0)),SomaAgrup)</f>
        <v>#VALUE!</v>
      </c>
      <c r="AB96" s="56" t="e">
        <f t="shared" ca="1" si="43"/>
        <v>#VALUE!</v>
      </c>
      <c r="AC96" s="57" t="e">
        <f ca="1">IF($N96="","",IF(ORÇAMENTO.Descricao="","DESCRIÇÃO",IF(AND($C96="S",ORÇAMENTO.Unidade=""),"UNIDADE",IF($X96&lt;0,"VALOR NEGATIVO",IF(OR(AND(TIPOORCAMENTO="Proposto",$AG96&lt;&gt;"",$AG96&gt;0,ORÇAMENTO.CustoUnitario&gt;$AG96),AND(TIPOORCAMENTO="LICITADO",ORÇAMENTO.PrecoUnitarioLicitado&gt;$AN96)),"ACIMA REF.","")))))</f>
        <v>#VALUE!</v>
      </c>
      <c r="AD96" t="str">
        <f ca="1">IF(C96&lt;=CRONO.NivelExibicao,MAX($AD$15:OFFSET(AD96,-1,0))+IF($C96&lt;&gt;1,1,MAX(1,COUNTIF([1]QCI!$A$13:$A$24,OFFSET($E96,-1,0)))),"")</f>
        <v/>
      </c>
      <c r="AE96" s="4" t="str">
        <f ca="1">IF(AND($C96="S",ORÇAMENTO.CodBarra&lt;&gt;""),IF(ORÇAMENTO.Fonte="",ORÇAMENTO.CodBarra,CONCATENATE(ORÇAMENTO.Fonte," ",ORÇAMENTO.CodBarra)))</f>
        <v>SINAPI 92000</v>
      </c>
      <c r="AF96" s="58" t="e">
        <f ca="1">IF(ISERROR(INDIRECT(ORÇAMENTO.BancoRef)),"(abra o arquivo 'Referência "&amp;Excel_BuiltIn_Database&amp;".xls)",IF(OR($C96&lt;&gt;"S",ORÇAMENTO.CodBarra=""),"(Sem Código)",IF(ISERROR(MATCH($AE96,INDIRECT(ORÇAMENTO.BancoRef),0)),"(Código não identificado nas referências)",MATCH($AE96,INDIRECT(ORÇAMENTO.BancoRef),0))))</f>
        <v>#VALUE!</v>
      </c>
      <c r="AG96" s="59" t="e">
        <f ca="1">ROUND(IF(DESONERACAO="sim",REFERENCIA.Desonerado,REFERENCIA.NaoDesonerado),2)</f>
        <v>#VALUE!</v>
      </c>
      <c r="AH96" s="60">
        <f t="shared" si="44"/>
        <v>0.2223</v>
      </c>
      <c r="AJ96" s="61">
        <v>20</v>
      </c>
      <c r="AL96" s="62"/>
      <c r="AM96" s="63" t="e">
        <f t="shared" ca="1" si="0"/>
        <v>#VALUE!</v>
      </c>
      <c r="AN96" s="64" t="e">
        <f t="shared" ca="1" si="45"/>
        <v>#VALUE!</v>
      </c>
    </row>
    <row r="97" spans="1:40" ht="25.5" x14ac:dyDescent="0.2">
      <c r="A97" t="str">
        <f t="shared" si="41"/>
        <v>S</v>
      </c>
      <c r="B97">
        <f t="shared" ca="1" si="46"/>
        <v>3</v>
      </c>
      <c r="C97" t="str">
        <f t="shared" ca="1" si="47"/>
        <v>S</v>
      </c>
      <c r="D97">
        <f t="shared" ca="1" si="48"/>
        <v>0</v>
      </c>
      <c r="E97" t="e">
        <f ca="1">IF($C97=1,OFFSET(E97,-1,0)+MAX(1,COUNTIF([1]QCI!$A$13:$A$24,OFFSET(ORÇAMENTO!E97,-1,0))),OFFSET(E97,-1,0))</f>
        <v>#VALUE!</v>
      </c>
      <c r="F97">
        <f t="shared" ca="1" si="49"/>
        <v>2</v>
      </c>
      <c r="G97">
        <f t="shared" ca="1" si="50"/>
        <v>6</v>
      </c>
      <c r="H97">
        <f t="shared" ca="1" si="51"/>
        <v>0</v>
      </c>
      <c r="I97" t="e">
        <f t="shared" ca="1" si="52"/>
        <v>#VALUE!</v>
      </c>
      <c r="J97">
        <f t="shared" ca="1" si="59"/>
        <v>0</v>
      </c>
      <c r="K97">
        <f ca="1">IF(OR($C97="S",$C97=0),0,MATCH(OFFSET($D97,0,$C97)+IF($C97&lt;&gt;1,1,COUNTIF([1]QCI!$A$13:$A$24,ORÇAMENTO!E97)),OFFSET($D97,1,$C97,ROW($C$145)-ROW($C97)),0))</f>
        <v>0</v>
      </c>
      <c r="L97" s="42" t="e">
        <f t="shared" ca="1" si="53"/>
        <v>#VALUE!</v>
      </c>
      <c r="M97" s="43" t="s">
        <v>7</v>
      </c>
      <c r="N97" s="44" t="str">
        <f t="shared" ca="1" si="54"/>
        <v>Serviço</v>
      </c>
      <c r="O97" s="45" t="e">
        <f t="shared" ca="1" si="55"/>
        <v>#VALUE!</v>
      </c>
      <c r="P97" s="46" t="s">
        <v>62</v>
      </c>
      <c r="Q97" s="47" t="s">
        <v>174</v>
      </c>
      <c r="R97" s="48" t="s">
        <v>175</v>
      </c>
      <c r="S97" s="49" t="s">
        <v>85</v>
      </c>
      <c r="T97" s="50" t="e">
        <f ca="1">OFFSET([1]CÁLCULO!H$15,ROW($T97)-ROW(T$15),0)</f>
        <v>#VALUE!</v>
      </c>
      <c r="U97" s="51">
        <v>172.24</v>
      </c>
      <c r="V97" s="52" t="s">
        <v>10</v>
      </c>
      <c r="W97" s="50">
        <f ca="1">IF($C97="S",ROUND(IF(TIPOORCAMENTO="Proposto",ORÇAMENTO.CustoUnitario*(1+$AH97),ORÇAMENTO.PrecoUnitarioLicitado),15-13*$AF$10),0)</f>
        <v>210.528952</v>
      </c>
      <c r="X97" s="53" t="e">
        <f t="shared" ca="1" si="42"/>
        <v>#VALUE!</v>
      </c>
      <c r="Y97" s="54" t="s">
        <v>63</v>
      </c>
      <c r="Z97" t="e">
        <f t="shared" ca="1" si="56"/>
        <v>#VALUE!</v>
      </c>
      <c r="AA97" s="55" t="e">
        <f ca="1">IF($C97="S",IF($Z97="CP",$X97,IF($Z97="RA",(($X97)*[1]QCI!$AA$3),0)),SomaAgrup)</f>
        <v>#VALUE!</v>
      </c>
      <c r="AB97" s="56" t="e">
        <f t="shared" ca="1" si="43"/>
        <v>#VALUE!</v>
      </c>
      <c r="AC97" s="57" t="e">
        <f ca="1">IF($N97="","",IF(ORÇAMENTO.Descricao="","DESCRIÇÃO",IF(AND($C97="S",ORÇAMENTO.Unidade=""),"UNIDADE",IF($X97&lt;0,"VALOR NEGATIVO",IF(OR(AND(TIPOORCAMENTO="Proposto",$AG97&lt;&gt;"",$AG97&gt;0,ORÇAMENTO.CustoUnitario&gt;$AG97),AND(TIPOORCAMENTO="LICITADO",ORÇAMENTO.PrecoUnitarioLicitado&gt;$AN97)),"ACIMA REF.","")))))</f>
        <v>#VALUE!</v>
      </c>
      <c r="AD97" t="str">
        <f ca="1">IF(C97&lt;=CRONO.NivelExibicao,MAX($AD$15:OFFSET(AD97,-1,0))+IF($C97&lt;&gt;1,1,MAX(1,COUNTIF([1]QCI!$A$13:$A$24,OFFSET($E97,-1,0)))),"")</f>
        <v/>
      </c>
      <c r="AE97" s="4" t="str">
        <f ca="1">IF(AND($C97="S",ORÇAMENTO.CodBarra&lt;&gt;""),IF(ORÇAMENTO.Fonte="",ORÇAMENTO.CodBarra,CONCATENATE(ORÇAMENTO.Fonte," ",ORÇAMENTO.CodBarra)))</f>
        <v>SINAPI AUX2768</v>
      </c>
      <c r="AF97" s="58" t="e">
        <f ca="1">IF(ISERROR(INDIRECT(ORÇAMENTO.BancoRef)),"(abra o arquivo 'Referência "&amp;Excel_BuiltIn_Database&amp;".xls)",IF(OR($C97&lt;&gt;"S",ORÇAMENTO.CodBarra=""),"(Sem Código)",IF(ISERROR(MATCH($AE97,INDIRECT(ORÇAMENTO.BancoRef),0)),"(Código não identificado nas referências)",MATCH($AE97,INDIRECT(ORÇAMENTO.BancoRef),0))))</f>
        <v>#VALUE!</v>
      </c>
      <c r="AG97" s="59" t="e">
        <f ca="1">ROUND(IF(DESONERACAO="sim",REFERENCIA.Desonerado,REFERENCIA.NaoDesonerado),2)</f>
        <v>#VALUE!</v>
      </c>
      <c r="AH97" s="60">
        <f t="shared" si="44"/>
        <v>0.2223</v>
      </c>
      <c r="AJ97" s="61">
        <v>20</v>
      </c>
      <c r="AL97" s="62"/>
      <c r="AM97" s="63" t="e">
        <f t="shared" ca="1" si="0"/>
        <v>#VALUE!</v>
      </c>
      <c r="AN97" s="64">
        <f t="shared" si="45"/>
        <v>210.53</v>
      </c>
    </row>
    <row r="98" spans="1:40" ht="25.5" x14ac:dyDescent="0.2">
      <c r="A98" t="str">
        <f t="shared" si="41"/>
        <v>S</v>
      </c>
      <c r="B98">
        <f t="shared" ca="1" si="46"/>
        <v>3</v>
      </c>
      <c r="C98" t="str">
        <f t="shared" ca="1" si="47"/>
        <v>S</v>
      </c>
      <c r="D98">
        <f t="shared" ca="1" si="48"/>
        <v>0</v>
      </c>
      <c r="E98" t="e">
        <f ca="1">IF($C98=1,OFFSET(E98,-1,0)+MAX(1,COUNTIF([1]QCI!$A$13:$A$24,OFFSET(ORÇAMENTO!E98,-1,0))),OFFSET(E98,-1,0))</f>
        <v>#VALUE!</v>
      </c>
      <c r="F98">
        <f t="shared" ca="1" si="49"/>
        <v>2</v>
      </c>
      <c r="G98">
        <f t="shared" ca="1" si="50"/>
        <v>6</v>
      </c>
      <c r="H98">
        <f t="shared" ca="1" si="51"/>
        <v>0</v>
      </c>
      <c r="I98" t="e">
        <f t="shared" ca="1" si="52"/>
        <v>#VALUE!</v>
      </c>
      <c r="J98">
        <f t="shared" ca="1" si="59"/>
        <v>0</v>
      </c>
      <c r="K98">
        <f ca="1">IF(OR($C98="S",$C98=0),0,MATCH(OFFSET($D98,0,$C98)+IF($C98&lt;&gt;1,1,COUNTIF([1]QCI!$A$13:$A$24,ORÇAMENTO!E98)),OFFSET($D98,1,$C98,ROW($C$145)-ROW($C98)),0))</f>
        <v>0</v>
      </c>
      <c r="L98" s="42" t="e">
        <f t="shared" ca="1" si="53"/>
        <v>#VALUE!</v>
      </c>
      <c r="M98" s="43" t="s">
        <v>7</v>
      </c>
      <c r="N98" s="44" t="str">
        <f t="shared" ca="1" si="54"/>
        <v>Serviço</v>
      </c>
      <c r="O98" s="45" t="e">
        <f t="shared" ca="1" si="55"/>
        <v>#VALUE!</v>
      </c>
      <c r="P98" s="46" t="s">
        <v>62</v>
      </c>
      <c r="Q98" s="47" t="s">
        <v>176</v>
      </c>
      <c r="R98" s="48" t="s">
        <v>177</v>
      </c>
      <c r="S98" s="49" t="s">
        <v>178</v>
      </c>
      <c r="T98" s="50" t="e">
        <f ca="1">OFFSET([1]CÁLCULO!H$15,ROW($T98)-ROW(T$15),0)</f>
        <v>#VALUE!</v>
      </c>
      <c r="U98" s="51">
        <v>707.04</v>
      </c>
      <c r="V98" s="52" t="s">
        <v>10</v>
      </c>
      <c r="W98" s="50">
        <f ca="1">IF($C98="S",ROUND(IF(TIPOORCAMENTO="Proposto",ORÇAMENTO.CustoUnitario*(1+$AH98),ORÇAMENTO.PrecoUnitarioLicitado),15-13*$AF$10),0)</f>
        <v>864.21499200000005</v>
      </c>
      <c r="X98" s="53" t="e">
        <f t="shared" ca="1" si="42"/>
        <v>#VALUE!</v>
      </c>
      <c r="Y98" s="54" t="s">
        <v>63</v>
      </c>
      <c r="Z98" t="e">
        <f t="shared" ca="1" si="56"/>
        <v>#VALUE!</v>
      </c>
      <c r="AA98" s="55" t="e">
        <f ca="1">IF($C98="S",IF($Z98="CP",$X98,IF($Z98="RA",(($X98)*[1]QCI!$AA$3),0)),SomaAgrup)</f>
        <v>#VALUE!</v>
      </c>
      <c r="AB98" s="56" t="e">
        <f t="shared" ca="1" si="43"/>
        <v>#VALUE!</v>
      </c>
      <c r="AC98" s="57" t="e">
        <f ca="1">IF($N98="","",IF(ORÇAMENTO.Descricao="","DESCRIÇÃO",IF(AND($C98="S",ORÇAMENTO.Unidade=""),"UNIDADE",IF($X98&lt;0,"VALOR NEGATIVO",IF(OR(AND(TIPOORCAMENTO="Proposto",$AG98&lt;&gt;"",$AG98&gt;0,ORÇAMENTO.CustoUnitario&gt;$AG98),AND(TIPOORCAMENTO="LICITADO",ORÇAMENTO.PrecoUnitarioLicitado&gt;$AN98)),"ACIMA REF.","")))))</f>
        <v>#VALUE!</v>
      </c>
      <c r="AD98" t="str">
        <f ca="1">IF(C98&lt;=CRONO.NivelExibicao,MAX($AD$15:OFFSET(AD98,-1,0))+IF($C98&lt;&gt;1,1,MAX(1,COUNTIF([1]QCI!$A$13:$A$24,OFFSET($E98,-1,0)))),"")</f>
        <v/>
      </c>
      <c r="AE98" s="4" t="str">
        <f ca="1">IF(AND($C98="S",ORÇAMENTO.CodBarra&lt;&gt;""),IF(ORÇAMENTO.Fonte="",ORÇAMENTO.CodBarra,CONCATENATE(ORÇAMENTO.Fonte," ",ORÇAMENTO.CodBarra)))</f>
        <v>SINAPI AUX2877</v>
      </c>
      <c r="AF98" s="58" t="e">
        <f ca="1">IF(ISERROR(INDIRECT(ORÇAMENTO.BancoRef)),"(abra o arquivo 'Referência "&amp;Excel_BuiltIn_Database&amp;".xls)",IF(OR($C98&lt;&gt;"S",ORÇAMENTO.CodBarra=""),"(Sem Código)",IF(ISERROR(MATCH($AE98,INDIRECT(ORÇAMENTO.BancoRef),0)),"(Código não identificado nas referências)",MATCH($AE98,INDIRECT(ORÇAMENTO.BancoRef),0))))</f>
        <v>#VALUE!</v>
      </c>
      <c r="AG98" s="59" t="e">
        <f ca="1">ROUND(IF(DESONERACAO="sim",REFERENCIA.Desonerado,REFERENCIA.NaoDesonerado),2)</f>
        <v>#VALUE!</v>
      </c>
      <c r="AH98" s="60">
        <f t="shared" si="44"/>
        <v>0.2223</v>
      </c>
      <c r="AJ98" s="61">
        <v>18</v>
      </c>
      <c r="AL98" s="62"/>
      <c r="AM98" s="63" t="e">
        <f t="shared" ca="1" si="0"/>
        <v>#VALUE!</v>
      </c>
      <c r="AN98" s="64">
        <f t="shared" si="45"/>
        <v>864.21</v>
      </c>
    </row>
    <row r="99" spans="1:40" ht="38.25" x14ac:dyDescent="0.2">
      <c r="A99" t="str">
        <f t="shared" si="41"/>
        <v>S</v>
      </c>
      <c r="B99">
        <f t="shared" ca="1" si="46"/>
        <v>3</v>
      </c>
      <c r="C99" t="str">
        <f t="shared" ca="1" si="47"/>
        <v>S</v>
      </c>
      <c r="D99">
        <f t="shared" ca="1" si="48"/>
        <v>0</v>
      </c>
      <c r="E99" t="e">
        <f ca="1">IF($C99=1,OFFSET(E99,-1,0)+MAX(1,COUNTIF([1]QCI!$A$13:$A$24,OFFSET(ORÇAMENTO!E99,-1,0))),OFFSET(E99,-1,0))</f>
        <v>#VALUE!</v>
      </c>
      <c r="F99">
        <f t="shared" ca="1" si="49"/>
        <v>2</v>
      </c>
      <c r="G99">
        <f t="shared" ca="1" si="50"/>
        <v>6</v>
      </c>
      <c r="H99">
        <f t="shared" ca="1" si="51"/>
        <v>0</v>
      </c>
      <c r="I99" t="e">
        <f t="shared" ca="1" si="52"/>
        <v>#VALUE!</v>
      </c>
      <c r="J99">
        <f t="shared" ca="1" si="59"/>
        <v>0</v>
      </c>
      <c r="K99">
        <f ca="1">IF(OR($C99="S",$C99=0),0,MATCH(OFFSET($D99,0,$C99)+IF($C99&lt;&gt;1,1,COUNTIF([1]QCI!$A$13:$A$24,ORÇAMENTO!E99)),OFFSET($D99,1,$C99,ROW($C$145)-ROW($C99)),0))</f>
        <v>0</v>
      </c>
      <c r="L99" s="42" t="e">
        <f t="shared" ca="1" si="53"/>
        <v>#VALUE!</v>
      </c>
      <c r="M99" s="43" t="s">
        <v>7</v>
      </c>
      <c r="N99" s="44" t="str">
        <f t="shared" ca="1" si="54"/>
        <v>Serviço</v>
      </c>
      <c r="O99" s="45" t="e">
        <f t="shared" ca="1" si="55"/>
        <v>#VALUE!</v>
      </c>
      <c r="P99" s="46" t="s">
        <v>70</v>
      </c>
      <c r="Q99" s="47">
        <v>39378</v>
      </c>
      <c r="R99" s="48" t="s">
        <v>179</v>
      </c>
      <c r="S99" s="49" t="s">
        <v>105</v>
      </c>
      <c r="T99" s="50" t="e">
        <f ca="1">OFFSET([1]CÁLCULO!H$15,ROW($T99)-ROW(T$15),0)</f>
        <v>#VALUE!</v>
      </c>
      <c r="U99" s="51" t="e">
        <f t="shared" ca="1" si="23"/>
        <v>#VALUE!</v>
      </c>
      <c r="V99" s="52" t="s">
        <v>10</v>
      </c>
      <c r="W99" s="50" t="e">
        <f ca="1">IF($C99="S",ROUND(IF(TIPOORCAMENTO="Proposto",ORÇAMENTO.CustoUnitario*(1+$AH99),ORÇAMENTO.PrecoUnitarioLicitado),15-13*$AF$10),0)</f>
        <v>#VALUE!</v>
      </c>
      <c r="X99" s="53" t="e">
        <f t="shared" ca="1" si="42"/>
        <v>#VALUE!</v>
      </c>
      <c r="Y99" s="54" t="s">
        <v>63</v>
      </c>
      <c r="Z99" t="e">
        <f t="shared" ca="1" si="56"/>
        <v>#VALUE!</v>
      </c>
      <c r="AA99" s="55" t="e">
        <f ca="1">IF($C99="S",IF($Z99="CP",$X99,IF($Z99="RA",(($X99)*[1]QCI!$AA$3),0)),SomaAgrup)</f>
        <v>#VALUE!</v>
      </c>
      <c r="AB99" s="56" t="e">
        <f t="shared" ca="1" si="43"/>
        <v>#VALUE!</v>
      </c>
      <c r="AC99" s="57" t="e">
        <f ca="1">IF($N99="","",IF(ORÇAMENTO.Descricao="","DESCRIÇÃO",IF(AND($C99="S",ORÇAMENTO.Unidade=""),"UNIDADE",IF($X99&lt;0,"VALOR NEGATIVO",IF(OR(AND(TIPOORCAMENTO="Proposto",$AG99&lt;&gt;"",$AG99&gt;0,ORÇAMENTO.CustoUnitario&gt;$AG99),AND(TIPOORCAMENTO="LICITADO",ORÇAMENTO.PrecoUnitarioLicitado&gt;$AN99)),"ACIMA REF.","")))))</f>
        <v>#VALUE!</v>
      </c>
      <c r="AD99" t="str">
        <f ca="1">IF(C99&lt;=CRONO.NivelExibicao,MAX($AD$15:OFFSET(AD99,-1,0))+IF($C99&lt;&gt;1,1,MAX(1,COUNTIF([1]QCI!$A$13:$A$24,OFFSET($E99,-1,0)))),"")</f>
        <v/>
      </c>
      <c r="AE99" s="4" t="str">
        <f ca="1">IF(AND($C99="S",ORÇAMENTO.CodBarra&lt;&gt;""),IF(ORÇAMENTO.Fonte="",ORÇAMENTO.CodBarra,CONCATENATE(ORÇAMENTO.Fonte," ",ORÇAMENTO.CodBarra)))</f>
        <v>SINAPI-I 39378</v>
      </c>
      <c r="AF99" s="58" t="e">
        <f ca="1">IF(ISERROR(INDIRECT(ORÇAMENTO.BancoRef)),"(abra o arquivo 'Referência "&amp;Excel_BuiltIn_Database&amp;".xls)",IF(OR($C99&lt;&gt;"S",ORÇAMENTO.CodBarra=""),"(Sem Código)",IF(ISERROR(MATCH($AE99,INDIRECT(ORÇAMENTO.BancoRef),0)),"(Código não identificado nas referências)",MATCH($AE99,INDIRECT(ORÇAMENTO.BancoRef),0))))</f>
        <v>#VALUE!</v>
      </c>
      <c r="AG99" s="59" t="e">
        <f ca="1">ROUND(IF(DESONERACAO="sim",REFERENCIA.Desonerado,REFERENCIA.NaoDesonerado),2)</f>
        <v>#VALUE!</v>
      </c>
      <c r="AH99" s="60">
        <f t="shared" si="44"/>
        <v>0.2223</v>
      </c>
      <c r="AJ99" s="61">
        <v>14</v>
      </c>
      <c r="AL99" s="62"/>
      <c r="AM99" s="63" t="e">
        <f t="shared" ca="1" si="0"/>
        <v>#VALUE!</v>
      </c>
      <c r="AN99" s="64" t="e">
        <f t="shared" ca="1" si="45"/>
        <v>#VALUE!</v>
      </c>
    </row>
    <row r="100" spans="1:40" x14ac:dyDescent="0.2">
      <c r="A100">
        <f t="shared" si="41"/>
        <v>3</v>
      </c>
      <c r="B100">
        <f t="shared" ca="1" si="46"/>
        <v>3</v>
      </c>
      <c r="C100">
        <f t="shared" ca="1" si="47"/>
        <v>3</v>
      </c>
      <c r="D100">
        <f t="shared" ca="1" si="48"/>
        <v>14</v>
      </c>
      <c r="E100" t="e">
        <f ca="1">IF($C100=1,OFFSET(E100,-1,0)+MAX(1,COUNTIF([1]QCI!$A$13:$A$24,OFFSET(ORÇAMENTO!E100,-1,0))),OFFSET(E100,-1,0))</f>
        <v>#VALUE!</v>
      </c>
      <c r="F100">
        <f t="shared" ca="1" si="49"/>
        <v>2</v>
      </c>
      <c r="G100">
        <f t="shared" ca="1" si="50"/>
        <v>7</v>
      </c>
      <c r="H100">
        <f t="shared" ca="1" si="51"/>
        <v>0</v>
      </c>
      <c r="I100">
        <f t="shared" ca="1" si="52"/>
        <v>0</v>
      </c>
      <c r="J100">
        <f t="shared" ca="1" si="59"/>
        <v>45</v>
      </c>
      <c r="K100">
        <f ca="1">IF(OR($C100="S",$C100=0),0,MATCH(OFFSET($D100,0,$C100)+IF($C100&lt;&gt;1,1,COUNTIF([1]QCI!$A$13:$A$24,ORÇAMENTO!E100)),OFFSET($D100,1,$C100,ROW($C$145)-ROW($C100)),0))</f>
        <v>14</v>
      </c>
      <c r="L100" s="42" t="e">
        <f t="shared" ca="1" si="53"/>
        <v>#VALUE!</v>
      </c>
      <c r="M100" s="43" t="s">
        <v>5</v>
      </c>
      <c r="N100" s="44" t="str">
        <f t="shared" ca="1" si="54"/>
        <v>Nível 3</v>
      </c>
      <c r="O100" s="45" t="e">
        <f t="shared" ca="1" si="55"/>
        <v>#VALUE!</v>
      </c>
      <c r="P100" s="46" t="s">
        <v>62</v>
      </c>
      <c r="Q100" s="47"/>
      <c r="R100" s="48" t="s">
        <v>180</v>
      </c>
      <c r="S100" s="49" t="s">
        <v>67</v>
      </c>
      <c r="T100" s="50" t="e">
        <f ca="1">OFFSET([1]CÁLCULO!H$15,ROW($T100)-ROW(T$15),0)</f>
        <v>#VALUE!</v>
      </c>
      <c r="U100" s="51"/>
      <c r="V100" s="52" t="s">
        <v>10</v>
      </c>
      <c r="W100" s="50">
        <f ca="1">IF($C100="S",ROUND(IF(TIPOORCAMENTO="Proposto",ORÇAMENTO.CustoUnitario*(1+$AH100),ORÇAMENTO.PrecoUnitarioLicitado),15-13*$AF$10),0)</f>
        <v>0</v>
      </c>
      <c r="X100" s="53" t="e">
        <f t="shared" ca="1" si="42"/>
        <v>#VALUE!</v>
      </c>
      <c r="Y100" s="54" t="s">
        <v>63</v>
      </c>
      <c r="Z100" t="e">
        <f t="shared" ca="1" si="56"/>
        <v>#VALUE!</v>
      </c>
      <c r="AA100" s="55" t="e">
        <f ca="1">IF($C100="S",IF($Z100="CP",$X100,IF($Z100="RA",(($X100)*[1]QCI!$AA$3),0)),SomaAgrup)</f>
        <v>#VALUE!</v>
      </c>
      <c r="AB100" s="56" t="e">
        <f t="shared" ca="1" si="43"/>
        <v>#VALUE!</v>
      </c>
      <c r="AC100" s="57" t="e">
        <f ca="1">IF($N100="","",IF(ORÇAMENTO.Descricao="","DESCRIÇÃO",IF(AND($C100="S",ORÇAMENTO.Unidade=""),"UNIDADE",IF($X100&lt;0,"VALOR NEGATIVO",IF(OR(AND(TIPOORCAMENTO="Proposto",$AG100&lt;&gt;"",$AG100&gt;0,ORÇAMENTO.CustoUnitario&gt;$AG100),AND(TIPOORCAMENTO="LICITADO",ORÇAMENTO.PrecoUnitarioLicitado&gt;$AN100)),"ACIMA REF.","")))))</f>
        <v>#VALUE!</v>
      </c>
      <c r="AD100" t="e">
        <f ca="1">IF(C100&lt;=CRONO.NivelExibicao,MAX($AD$15:OFFSET(AD100,-1,0))+IF($C100&lt;&gt;1,1,MAX(1,COUNTIF([1]QCI!$A$13:$A$24,OFFSET($E100,-1,0)))),"")</f>
        <v>#VALUE!</v>
      </c>
      <c r="AE100" s="4" t="b">
        <f ca="1">IF(AND($C100="S",ORÇAMENTO.CodBarra&lt;&gt;""),IF(ORÇAMENTO.Fonte="",ORÇAMENTO.CodBarra,CONCATENATE(ORÇAMENTO.Fonte," ",ORÇAMENTO.CodBarra)))</f>
        <v>0</v>
      </c>
      <c r="AF100" s="58" t="e">
        <f ca="1">IF(ISERROR(INDIRECT(ORÇAMENTO.BancoRef)),"(abra o arquivo 'Referência "&amp;Excel_BuiltIn_Database&amp;".xls)",IF(OR($C100&lt;&gt;"S",ORÇAMENTO.CodBarra=""),"(Sem Código)",IF(ISERROR(MATCH($AE100,INDIRECT(ORÇAMENTO.BancoRef),0)),"(Código não identificado nas referências)",MATCH($AE100,INDIRECT(ORÇAMENTO.BancoRef),0))))</f>
        <v>#VALUE!</v>
      </c>
      <c r="AG100" s="59" t="e">
        <f ca="1">ROUND(IF(DESONERACAO="sim",REFERENCIA.Desonerado,REFERENCIA.NaoDesonerado),2)</f>
        <v>#VALUE!</v>
      </c>
      <c r="AH100" s="60">
        <f t="shared" si="44"/>
        <v>0.2223</v>
      </c>
      <c r="AJ100" s="61"/>
      <c r="AL100" s="62"/>
      <c r="AM100" s="63" t="e">
        <f t="shared" ca="1" si="0"/>
        <v>#VALUE!</v>
      </c>
      <c r="AN100" s="64">
        <f t="shared" si="45"/>
        <v>0</v>
      </c>
    </row>
    <row r="101" spans="1:40" ht="25.5" x14ac:dyDescent="0.2">
      <c r="A101" t="str">
        <f t="shared" si="41"/>
        <v>S</v>
      </c>
      <c r="B101">
        <f t="shared" ca="1" si="46"/>
        <v>3</v>
      </c>
      <c r="C101" t="str">
        <f t="shared" ca="1" si="47"/>
        <v>S</v>
      </c>
      <c r="D101">
        <f t="shared" ca="1" si="48"/>
        <v>0</v>
      </c>
      <c r="E101" t="e">
        <f ca="1">IF($C101=1,OFFSET(E101,-1,0)+MAX(1,COUNTIF([1]QCI!$A$13:$A$24,OFFSET(ORÇAMENTO!E101,-1,0))),OFFSET(E101,-1,0))</f>
        <v>#VALUE!</v>
      </c>
      <c r="F101">
        <f t="shared" ca="1" si="49"/>
        <v>2</v>
      </c>
      <c r="G101">
        <f t="shared" ca="1" si="50"/>
        <v>7</v>
      </c>
      <c r="H101">
        <f t="shared" ca="1" si="51"/>
        <v>0</v>
      </c>
      <c r="I101" t="e">
        <f t="shared" ca="1" si="52"/>
        <v>#VALUE!</v>
      </c>
      <c r="J101">
        <f t="shared" ca="1" si="59"/>
        <v>0</v>
      </c>
      <c r="K101">
        <f ca="1">IF(OR($C101="S",$C101=0),0,MATCH(OFFSET($D101,0,$C101)+IF($C101&lt;&gt;1,1,COUNTIF([1]QCI!$A$13:$A$24,ORÇAMENTO!E101)),OFFSET($D101,1,$C101,ROW($C$145)-ROW($C101)),0))</f>
        <v>0</v>
      </c>
      <c r="L101" s="42" t="e">
        <f t="shared" ca="1" si="53"/>
        <v>#VALUE!</v>
      </c>
      <c r="M101" s="43" t="s">
        <v>7</v>
      </c>
      <c r="N101" s="44" t="str">
        <f t="shared" ca="1" si="54"/>
        <v>Serviço</v>
      </c>
      <c r="O101" s="45" t="e">
        <f t="shared" ca="1" si="55"/>
        <v>#VALUE!</v>
      </c>
      <c r="P101" s="46" t="s">
        <v>62</v>
      </c>
      <c r="Q101" s="47">
        <v>86888</v>
      </c>
      <c r="R101" s="48" t="s">
        <v>181</v>
      </c>
      <c r="S101" s="49" t="s">
        <v>85</v>
      </c>
      <c r="T101" s="50" t="e">
        <f ca="1">OFFSET([1]CÁLCULO!H$15,ROW($T101)-ROW(T$15),0)</f>
        <v>#VALUE!</v>
      </c>
      <c r="U101" s="51" t="e">
        <f ca="1">AG101</f>
        <v>#VALUE!</v>
      </c>
      <c r="V101" s="52" t="s">
        <v>10</v>
      </c>
      <c r="W101" s="50" t="e">
        <f ca="1">IF($C101="S",ROUND(IF(TIPOORCAMENTO="Proposto",ORÇAMENTO.CustoUnitario*(1+$AH101),ORÇAMENTO.PrecoUnitarioLicitado),15-13*$AF$10),0)</f>
        <v>#VALUE!</v>
      </c>
      <c r="X101" s="53" t="e">
        <f t="shared" ca="1" si="42"/>
        <v>#VALUE!</v>
      </c>
      <c r="Y101" s="54" t="s">
        <v>63</v>
      </c>
      <c r="Z101" t="e">
        <f t="shared" ca="1" si="56"/>
        <v>#VALUE!</v>
      </c>
      <c r="AA101" s="55" t="e">
        <f ca="1">IF($C101="S",IF($Z101="CP",$X101,IF($Z101="RA",(($X101)*[1]QCI!$AA$3),0)),SomaAgrup)</f>
        <v>#VALUE!</v>
      </c>
      <c r="AB101" s="56" t="e">
        <f t="shared" ca="1" si="43"/>
        <v>#VALUE!</v>
      </c>
      <c r="AC101" s="57" t="e">
        <f ca="1">IF($N101="","",IF(ORÇAMENTO.Descricao="","DESCRIÇÃO",IF(AND($C101="S",ORÇAMENTO.Unidade=""),"UNIDADE",IF($X101&lt;0,"VALOR NEGATIVO",IF(OR(AND(TIPOORCAMENTO="Proposto",$AG101&lt;&gt;"",$AG101&gt;0,ORÇAMENTO.CustoUnitario&gt;$AG101),AND(TIPOORCAMENTO="LICITADO",ORÇAMENTO.PrecoUnitarioLicitado&gt;$AN101)),"ACIMA REF.","")))))</f>
        <v>#VALUE!</v>
      </c>
      <c r="AD101" t="str">
        <f ca="1">IF(C101&lt;=CRONO.NivelExibicao,MAX($AD$15:OFFSET(AD101,-1,0))+IF($C101&lt;&gt;1,1,MAX(1,COUNTIF([1]QCI!$A$13:$A$24,OFFSET($E101,-1,0)))),"")</f>
        <v/>
      </c>
      <c r="AE101" s="4" t="str">
        <f ca="1">IF(AND($C101="S",ORÇAMENTO.CodBarra&lt;&gt;""),IF(ORÇAMENTO.Fonte="",ORÇAMENTO.CodBarra,CONCATENATE(ORÇAMENTO.Fonte," ",ORÇAMENTO.CodBarra)))</f>
        <v>SINAPI 86888</v>
      </c>
      <c r="AF101" s="58" t="e">
        <f ca="1">IF(ISERROR(INDIRECT(ORÇAMENTO.BancoRef)),"(abra o arquivo 'Referência "&amp;Excel_BuiltIn_Database&amp;".xls)",IF(OR($C101&lt;&gt;"S",ORÇAMENTO.CodBarra=""),"(Sem Código)",IF(ISERROR(MATCH($AE101,INDIRECT(ORÇAMENTO.BancoRef),0)),"(Código não identificado nas referências)",MATCH($AE101,INDIRECT(ORÇAMENTO.BancoRef),0))))</f>
        <v>#VALUE!</v>
      </c>
      <c r="AG101" s="59" t="e">
        <f ca="1">ROUND(IF(DESONERACAO="sim",REFERENCIA.Desonerado,REFERENCIA.NaoDesonerado),2)</f>
        <v>#VALUE!</v>
      </c>
      <c r="AH101" s="60">
        <f t="shared" si="44"/>
        <v>0.2223</v>
      </c>
      <c r="AJ101" s="61">
        <v>8</v>
      </c>
      <c r="AL101" s="62"/>
      <c r="AM101" s="63" t="e">
        <f t="shared" ca="1" si="0"/>
        <v>#VALUE!</v>
      </c>
      <c r="AN101" s="64" t="e">
        <f t="shared" ca="1" si="45"/>
        <v>#VALUE!</v>
      </c>
    </row>
    <row r="102" spans="1:40" ht="51" x14ac:dyDescent="0.2">
      <c r="A102" t="str">
        <f t="shared" si="41"/>
        <v>S</v>
      </c>
      <c r="B102">
        <f t="shared" ca="1" si="46"/>
        <v>3</v>
      </c>
      <c r="C102" t="str">
        <f t="shared" ca="1" si="47"/>
        <v>S</v>
      </c>
      <c r="D102">
        <f t="shared" ca="1" si="48"/>
        <v>0</v>
      </c>
      <c r="E102" t="e">
        <f ca="1">IF($C102=1,OFFSET(E102,-1,0)+MAX(1,COUNTIF([1]QCI!$A$13:$A$24,OFFSET(ORÇAMENTO!E102,-1,0))),OFFSET(E102,-1,0))</f>
        <v>#VALUE!</v>
      </c>
      <c r="F102">
        <f t="shared" ca="1" si="49"/>
        <v>2</v>
      </c>
      <c r="G102">
        <f t="shared" ca="1" si="50"/>
        <v>7</v>
      </c>
      <c r="H102">
        <f t="shared" ca="1" si="51"/>
        <v>0</v>
      </c>
      <c r="I102" t="e">
        <f t="shared" ca="1" si="52"/>
        <v>#VALUE!</v>
      </c>
      <c r="J102">
        <f t="shared" ca="1" si="59"/>
        <v>0</v>
      </c>
      <c r="K102">
        <f ca="1">IF(OR($C102="S",$C102=0),0,MATCH(OFFSET($D102,0,$C102)+IF($C102&lt;&gt;1,1,COUNTIF([1]QCI!$A$13:$A$24,ORÇAMENTO!E102)),OFFSET($D102,1,$C102,ROW($C$145)-ROW($C102)),0))</f>
        <v>0</v>
      </c>
      <c r="L102" s="42" t="e">
        <f t="shared" ca="1" si="53"/>
        <v>#VALUE!</v>
      </c>
      <c r="M102" s="43" t="s">
        <v>7</v>
      </c>
      <c r="N102" s="44" t="str">
        <f t="shared" ca="1" si="54"/>
        <v>Serviço</v>
      </c>
      <c r="O102" s="45" t="e">
        <f t="shared" ca="1" si="55"/>
        <v>#VALUE!</v>
      </c>
      <c r="P102" s="46" t="s">
        <v>62</v>
      </c>
      <c r="Q102" s="47">
        <v>95472</v>
      </c>
      <c r="R102" s="48" t="s">
        <v>182</v>
      </c>
      <c r="S102" s="49" t="s">
        <v>85</v>
      </c>
      <c r="T102" s="50" t="e">
        <f ca="1">OFFSET([1]CÁLCULO!H$15,ROW($T102)-ROW(T$15),0)</f>
        <v>#VALUE!</v>
      </c>
      <c r="U102" s="51" t="e">
        <f t="shared" ref="U102:U113" ca="1" si="60">AG102</f>
        <v>#VALUE!</v>
      </c>
      <c r="V102" s="52" t="s">
        <v>10</v>
      </c>
      <c r="W102" s="50" t="e">
        <f ca="1">IF($C102="S",ROUND(IF(TIPOORCAMENTO="Proposto",ORÇAMENTO.CustoUnitario*(1+$AH102),ORÇAMENTO.PrecoUnitarioLicitado),15-13*$AF$10),0)</f>
        <v>#VALUE!</v>
      </c>
      <c r="X102" s="53" t="e">
        <f t="shared" ca="1" si="42"/>
        <v>#VALUE!</v>
      </c>
      <c r="Y102" s="54" t="s">
        <v>63</v>
      </c>
      <c r="Z102" t="e">
        <f t="shared" ca="1" si="56"/>
        <v>#VALUE!</v>
      </c>
      <c r="AA102" s="55" t="e">
        <f ca="1">IF($C102="S",IF($Z102="CP",$X102,IF($Z102="RA",(($X102)*[1]QCI!$AA$3),0)),SomaAgrup)</f>
        <v>#VALUE!</v>
      </c>
      <c r="AB102" s="56" t="e">
        <f t="shared" ca="1" si="43"/>
        <v>#VALUE!</v>
      </c>
      <c r="AC102" s="57" t="e">
        <f ca="1">IF($N102="","",IF(ORÇAMENTO.Descricao="","DESCRIÇÃO",IF(AND($C102="S",ORÇAMENTO.Unidade=""),"UNIDADE",IF($X102&lt;0,"VALOR NEGATIVO",IF(OR(AND(TIPOORCAMENTO="Proposto",$AG102&lt;&gt;"",$AG102&gt;0,ORÇAMENTO.CustoUnitario&gt;$AG102),AND(TIPOORCAMENTO="LICITADO",ORÇAMENTO.PrecoUnitarioLicitado&gt;$AN102)),"ACIMA REF.","")))))</f>
        <v>#VALUE!</v>
      </c>
      <c r="AD102" t="str">
        <f ca="1">IF(C102&lt;=CRONO.NivelExibicao,MAX($AD$15:OFFSET(AD102,-1,0))+IF($C102&lt;&gt;1,1,MAX(1,COUNTIF([1]QCI!$A$13:$A$24,OFFSET($E102,-1,0)))),"")</f>
        <v/>
      </c>
      <c r="AE102" s="4" t="str">
        <f ca="1">IF(AND($C102="S",ORÇAMENTO.CodBarra&lt;&gt;""),IF(ORÇAMENTO.Fonte="",ORÇAMENTO.CodBarra,CONCATENATE(ORÇAMENTO.Fonte," ",ORÇAMENTO.CodBarra)))</f>
        <v>SINAPI 95472</v>
      </c>
      <c r="AF102" s="58" t="e">
        <f ca="1">IF(ISERROR(INDIRECT(ORÇAMENTO.BancoRef)),"(abra o arquivo 'Referência "&amp;Excel_BuiltIn_Database&amp;".xls)",IF(OR($C102&lt;&gt;"S",ORÇAMENTO.CodBarra=""),"(Sem Código)",IF(ISERROR(MATCH($AE102,INDIRECT(ORÇAMENTO.BancoRef),0)),"(Código não identificado nas referências)",MATCH($AE102,INDIRECT(ORÇAMENTO.BancoRef),0))))</f>
        <v>#VALUE!</v>
      </c>
      <c r="AG102" s="59" t="e">
        <f ca="1">ROUND(IF(DESONERACAO="sim",REFERENCIA.Desonerado,REFERENCIA.NaoDesonerado),2)</f>
        <v>#VALUE!</v>
      </c>
      <c r="AH102" s="60">
        <f t="shared" si="44"/>
        <v>0.2223</v>
      </c>
      <c r="AJ102" s="61">
        <v>1</v>
      </c>
      <c r="AL102" s="62"/>
      <c r="AM102" s="63" t="e">
        <f t="shared" ca="1" si="0"/>
        <v>#VALUE!</v>
      </c>
      <c r="AN102" s="64" t="e">
        <f t="shared" ca="1" si="45"/>
        <v>#VALUE!</v>
      </c>
    </row>
    <row r="103" spans="1:40" ht="25.5" x14ac:dyDescent="0.2">
      <c r="A103" t="str">
        <f>CHOOSE(1+LOG(1+2*(ORÇAMENTO.Nivel="Meta")+4*(ORÇAMENTO.Nivel="Nível 2")+8*(ORÇAMENTO.Nivel="Nível 3")+16*(ORÇAMENTO.Nivel="Nível 4")+32*(ORÇAMENTO.Nivel="Serviço"),2),0,1,2,3,4,"S")</f>
        <v>S</v>
      </c>
      <c r="B103">
        <f ca="1">IF(OR(C103="s",C103=0),OFFSET(B103,-1,0),C103)</f>
        <v>3</v>
      </c>
      <c r="C103" t="str">
        <f ca="1">IF(OFFSET(C103,-1,0)="L",1,IF(OFFSET(C103,-1,0)=1,2,IF(OR(A103="s",A103=0),"S",IF(AND(OFFSET(C103,-1,0)=2,A103=4),3,IF(AND(OR(OFFSET(C103,-1,0)="s",OFFSET(C103,-1,0)=0),A103&lt;&gt;"s",A103&gt;OFFSET(B103,-1,0)),OFFSET(B103,-1,0),A103)))))</f>
        <v>S</v>
      </c>
      <c r="D103">
        <f ca="1">IF(OR(C103="S",C103=0),0,IF(ISERROR(K103),J103,SMALL(J103:K103,1)))</f>
        <v>0</v>
      </c>
      <c r="E103" t="e">
        <f ca="1">IF($C103=1,OFFSET(E103,-1,0)+MAX(1,COUNTIF([1]QCI!$A$13:$A$24,OFFSET(ORÇAMENTO!E103,-1,0))),OFFSET(E103,-1,0))</f>
        <v>#VALUE!</v>
      </c>
      <c r="F103">
        <f ca="1">IF($C103=1,0,IF($C103=2,OFFSET(F103,-1,0)+1,OFFSET(F103,-1,0)))</f>
        <v>2</v>
      </c>
      <c r="G103">
        <f ca="1">IF(AND($C103&lt;=2,$C103&lt;&gt;0),0,IF($C103=3,OFFSET(G103,-1,0)+1,OFFSET(G103,-1,0)))</f>
        <v>7</v>
      </c>
      <c r="H103">
        <f ca="1">IF(AND($C103&lt;=3,$C103&lt;&gt;0),0,IF($C103=4,OFFSET(H103,-1,0)+1,OFFSET(H103,-1,0)))</f>
        <v>0</v>
      </c>
      <c r="I103" t="e">
        <f ca="1">IF(AND($C103&lt;=4,$C103&lt;&gt;0),0,IF(AND($C103="S",$X103&gt;0),OFFSET(I103,-1,0)+1,OFFSET(I103,-1,0)))</f>
        <v>#VALUE!</v>
      </c>
      <c r="J103">
        <f t="shared" ca="1" si="59"/>
        <v>0</v>
      </c>
      <c r="K103">
        <f ca="1">IF(OR($C103="S",$C103=0),0,MATCH(OFFSET($D103,0,$C103)+IF($C103&lt;&gt;1,1,COUNTIF([1]QCI!$A$13:$A$24,ORÇAMENTO!E103)),OFFSET($D103,1,$C103,ROW($C$145)-ROW($C103)),0))</f>
        <v>0</v>
      </c>
      <c r="L103" s="42" t="e">
        <f ca="1">IF(OR($X103&gt;0,$C103=1,$C103=2,$C103=3,$C103=4),"F","")</f>
        <v>#VALUE!</v>
      </c>
      <c r="M103" s="43" t="s">
        <v>7</v>
      </c>
      <c r="N103" s="44" t="str">
        <f ca="1">CHOOSE(1+LOG(1+2*(C103=1)+4*(C103=2)+8*(C103=3)+16*(C103=4)+32*(C103="S"),2),"","Meta","Nível 2","Nível 3","Nível 4","Serviço")</f>
        <v>Serviço</v>
      </c>
      <c r="O103" s="45" t="e">
        <f ca="1">IF(OR($C103=0,$L103=""),"-",CONCATENATE(E103&amp;".",IF(AND($A$5&gt;=2,$C103&gt;=2),F103&amp;".",""),IF(AND($A$5&gt;=3,$C103&gt;=3),G103&amp;".",""),IF(AND($A$5&gt;=4,$C103&gt;=4),H103&amp;".",""),IF($C103="S",I103&amp;".","")))</f>
        <v>#VALUE!</v>
      </c>
      <c r="P103" s="46" t="s">
        <v>70</v>
      </c>
      <c r="Q103" s="47">
        <v>10432</v>
      </c>
      <c r="R103" s="48" t="s">
        <v>183</v>
      </c>
      <c r="S103" s="49" t="s">
        <v>105</v>
      </c>
      <c r="T103" s="50" t="e">
        <f ca="1">OFFSET([1]CÁLCULO!H$15,ROW($T103)-ROW(T$15),0)</f>
        <v>#VALUE!</v>
      </c>
      <c r="U103" s="51" t="e">
        <f t="shared" ca="1" si="60"/>
        <v>#VALUE!</v>
      </c>
      <c r="V103" s="52" t="s">
        <v>10</v>
      </c>
      <c r="W103" s="50" t="e">
        <f ca="1">IF($C103="S",ROUND(IF(TIPOORCAMENTO="Proposto",ORÇAMENTO.CustoUnitario*(1+$AH103),ORÇAMENTO.PrecoUnitarioLicitado),15-13*$AF$10),0)</f>
        <v>#VALUE!</v>
      </c>
      <c r="X103" s="53" t="e">
        <f ca="1">IF($C103="S",VTOTAL1,IF($C103=0,0,ROUND(SomaAgrup,15-13*$AF$11)))</f>
        <v>#VALUE!</v>
      </c>
      <c r="Y103" s="54" t="s">
        <v>63</v>
      </c>
      <c r="Z103" t="e">
        <f ca="1">IF(AND($C103="S",$X103&gt;0),IF(ISBLANK($Y103),"RA",LEFT($Y103,2)),"")</f>
        <v>#VALUE!</v>
      </c>
      <c r="AA103" s="55" t="e">
        <f ca="1">IF($C103="S",IF($Z103="CP",$X103,IF($Z103="RA",(($X103)*[1]QCI!$AA$3),0)),SomaAgrup)</f>
        <v>#VALUE!</v>
      </c>
      <c r="AB103" s="56" t="e">
        <f ca="1">IF($C103="S",IF($Z103="OU",ROUND($X103,2),0),SomaAgrup)</f>
        <v>#VALUE!</v>
      </c>
      <c r="AC103" s="57" t="e">
        <f ca="1">IF($N103="","",IF(ORÇAMENTO.Descricao="","DESCRIÇÃO",IF(AND($C103="S",ORÇAMENTO.Unidade=""),"UNIDADE",IF($X103&lt;0,"VALOR NEGATIVO",IF(OR(AND(TIPOORCAMENTO="Proposto",$AG103&lt;&gt;"",$AG103&gt;0,ORÇAMENTO.CustoUnitario&gt;$AG103),AND(TIPOORCAMENTO="LICITADO",ORÇAMENTO.PrecoUnitarioLicitado&gt;$AN103)),"ACIMA REF.","")))))</f>
        <v>#VALUE!</v>
      </c>
      <c r="AD103" t="str">
        <f ca="1">IF(C103&lt;=CRONO.NivelExibicao,MAX($AD$15:OFFSET(AD103,-1,0))+IF($C103&lt;&gt;1,1,MAX(1,COUNTIF([1]QCI!$A$13:$A$24,OFFSET($E103,-1,0)))),"")</f>
        <v/>
      </c>
      <c r="AE103" s="4" t="str">
        <f ca="1">IF(AND($C103="S",ORÇAMENTO.CodBarra&lt;&gt;""),IF(ORÇAMENTO.Fonte="",ORÇAMENTO.CodBarra,CONCATENATE(ORÇAMENTO.Fonte," ",ORÇAMENTO.CodBarra)))</f>
        <v>SINAPI-I 10432</v>
      </c>
      <c r="AF103" s="58" t="e">
        <f ca="1">IF(ISERROR(INDIRECT(ORÇAMENTO.BancoRef)),"(abra o arquivo 'Referência "&amp;Excel_BuiltIn_Database&amp;".xls)",IF(OR($C103&lt;&gt;"S",ORÇAMENTO.CodBarra=""),"(Sem Código)",IF(ISERROR(MATCH($AE103,INDIRECT(ORÇAMENTO.BancoRef),0)),"(Código não identificado nas referências)",MATCH($AE103,INDIRECT(ORÇAMENTO.BancoRef),0))))</f>
        <v>#VALUE!</v>
      </c>
      <c r="AG103" s="59" t="e">
        <f ca="1">ROUND(IF(DESONERACAO="sim",REFERENCIA.Desonerado,REFERENCIA.NaoDesonerado),2)</f>
        <v>#VALUE!</v>
      </c>
      <c r="AH103" s="60">
        <f>ROUND(IF(ISNUMBER(ORÇAMENTO.OpcaoBDI),ORÇAMENTO.OpcaoBDI,IF(LEFT(ORÇAMENTO.OpcaoBDI,3)="BDI",HLOOKUP(ORÇAMENTO.OpcaoBDI,$F$4:$H$5,2,FALSE),0)),15-11*$AF$9)</f>
        <v>0.2223</v>
      </c>
      <c r="AJ103" s="61">
        <v>3</v>
      </c>
      <c r="AL103" s="62"/>
      <c r="AM103" s="63" t="e">
        <f t="shared" ca="1" si="0"/>
        <v>#VALUE!</v>
      </c>
      <c r="AN103" s="64" t="e">
        <f ca="1">ROUND(ORÇAMENTO.CustoUnitario*(1+$AH103),2)</f>
        <v>#VALUE!</v>
      </c>
    </row>
    <row r="104" spans="1:40" ht="25.5" x14ac:dyDescent="0.2">
      <c r="A104" t="str">
        <f t="shared" si="41"/>
        <v>S</v>
      </c>
      <c r="B104">
        <f t="shared" ca="1" si="46"/>
        <v>3</v>
      </c>
      <c r="C104" t="str">
        <f t="shared" ca="1" si="47"/>
        <v>S</v>
      </c>
      <c r="D104">
        <f t="shared" ca="1" si="48"/>
        <v>0</v>
      </c>
      <c r="E104" t="e">
        <f ca="1">IF($C104=1,OFFSET(E104,-1,0)+MAX(1,COUNTIF([1]QCI!$A$13:$A$24,OFFSET(ORÇAMENTO!E104,-1,0))),OFFSET(E104,-1,0))</f>
        <v>#VALUE!</v>
      </c>
      <c r="F104">
        <f t="shared" ca="1" si="49"/>
        <v>2</v>
      </c>
      <c r="G104">
        <f t="shared" ca="1" si="50"/>
        <v>7</v>
      </c>
      <c r="H104">
        <f t="shared" ca="1" si="51"/>
        <v>0</v>
      </c>
      <c r="I104" t="e">
        <f t="shared" ca="1" si="52"/>
        <v>#VALUE!</v>
      </c>
      <c r="J104">
        <f t="shared" ca="1" si="59"/>
        <v>0</v>
      </c>
      <c r="K104">
        <f ca="1">IF(OR($C104="S",$C104=0),0,MATCH(OFFSET($D104,0,$C104)+IF($C104&lt;&gt;1,1,COUNTIF([1]QCI!$A$13:$A$24,ORÇAMENTO!E104)),OFFSET($D104,1,$C104,ROW($C$145)-ROW($C104)),0))</f>
        <v>0</v>
      </c>
      <c r="L104" s="42" t="e">
        <f t="shared" ca="1" si="53"/>
        <v>#VALUE!</v>
      </c>
      <c r="M104" s="43" t="s">
        <v>7</v>
      </c>
      <c r="N104" s="44" t="str">
        <f t="shared" ca="1" si="54"/>
        <v>Serviço</v>
      </c>
      <c r="O104" s="45" t="e">
        <f t="shared" ca="1" si="55"/>
        <v>#VALUE!</v>
      </c>
      <c r="P104" s="46" t="s">
        <v>62</v>
      </c>
      <c r="Q104" s="47">
        <v>86901</v>
      </c>
      <c r="R104" s="48" t="s">
        <v>184</v>
      </c>
      <c r="S104" s="49" t="s">
        <v>85</v>
      </c>
      <c r="T104" s="50" t="e">
        <f ca="1">OFFSET([1]CÁLCULO!H$15,ROW($T104)-ROW(T$15),0)</f>
        <v>#VALUE!</v>
      </c>
      <c r="U104" s="51" t="e">
        <f t="shared" ca="1" si="60"/>
        <v>#VALUE!</v>
      </c>
      <c r="V104" s="52" t="s">
        <v>10</v>
      </c>
      <c r="W104" s="50" t="e">
        <f ca="1">IF($C104="S",ROUND(IF(TIPOORCAMENTO="Proposto",ORÇAMENTO.CustoUnitario*(1+$AH104),ORÇAMENTO.PrecoUnitarioLicitado),15-13*$AF$10),0)</f>
        <v>#VALUE!</v>
      </c>
      <c r="X104" s="53" t="e">
        <f t="shared" ca="1" si="42"/>
        <v>#VALUE!</v>
      </c>
      <c r="Y104" s="54" t="s">
        <v>63</v>
      </c>
      <c r="Z104" t="e">
        <f t="shared" ca="1" si="56"/>
        <v>#VALUE!</v>
      </c>
      <c r="AA104" s="55" t="e">
        <f ca="1">IF($C104="S",IF($Z104="CP",$X104,IF($Z104="RA",(($X104)*[1]QCI!$AA$3),0)),SomaAgrup)</f>
        <v>#VALUE!</v>
      </c>
      <c r="AB104" s="56" t="e">
        <f t="shared" ca="1" si="43"/>
        <v>#VALUE!</v>
      </c>
      <c r="AC104" s="57" t="e">
        <f ca="1">IF($N104="","",IF(ORÇAMENTO.Descricao="","DESCRIÇÃO",IF(AND($C104="S",ORÇAMENTO.Unidade=""),"UNIDADE",IF($X104&lt;0,"VALOR NEGATIVO",IF(OR(AND(TIPOORCAMENTO="Proposto",$AG104&lt;&gt;"",$AG104&gt;0,ORÇAMENTO.CustoUnitario&gt;$AG104),AND(TIPOORCAMENTO="LICITADO",ORÇAMENTO.PrecoUnitarioLicitado&gt;$AN104)),"ACIMA REF.","")))))</f>
        <v>#VALUE!</v>
      </c>
      <c r="AD104" t="str">
        <f ca="1">IF(C104&lt;=CRONO.NivelExibicao,MAX($AD$15:OFFSET(AD104,-1,0))+IF($C104&lt;&gt;1,1,MAX(1,COUNTIF([1]QCI!$A$13:$A$24,OFFSET($E104,-1,0)))),"")</f>
        <v/>
      </c>
      <c r="AE104" s="4" t="str">
        <f ca="1">IF(AND($C104="S",ORÇAMENTO.CodBarra&lt;&gt;""),IF(ORÇAMENTO.Fonte="",ORÇAMENTO.CodBarra,CONCATENATE(ORÇAMENTO.Fonte," ",ORÇAMENTO.CodBarra)))</f>
        <v>SINAPI 86901</v>
      </c>
      <c r="AF104" s="58" t="e">
        <f ca="1">IF(ISERROR(INDIRECT(ORÇAMENTO.BancoRef)),"(abra o arquivo 'Referência "&amp;Excel_BuiltIn_Database&amp;".xls)",IF(OR($C104&lt;&gt;"S",ORÇAMENTO.CodBarra=""),"(Sem Código)",IF(ISERROR(MATCH($AE104,INDIRECT(ORÇAMENTO.BancoRef),0)),"(Código não identificado nas referências)",MATCH($AE104,INDIRECT(ORÇAMENTO.BancoRef),0))))</f>
        <v>#VALUE!</v>
      </c>
      <c r="AG104" s="59" t="e">
        <f ca="1">ROUND(IF(DESONERACAO="sim",REFERENCIA.Desonerado,REFERENCIA.NaoDesonerado),2)</f>
        <v>#VALUE!</v>
      </c>
      <c r="AH104" s="60">
        <f t="shared" si="44"/>
        <v>0.2223</v>
      </c>
      <c r="AJ104" s="61">
        <v>7</v>
      </c>
      <c r="AL104" s="62"/>
      <c r="AM104" s="63" t="e">
        <f t="shared" ca="1" si="0"/>
        <v>#VALUE!</v>
      </c>
      <c r="AN104" s="64" t="e">
        <f t="shared" ca="1" si="45"/>
        <v>#VALUE!</v>
      </c>
    </row>
    <row r="105" spans="1:40" x14ac:dyDescent="0.2">
      <c r="A105" t="str">
        <f t="shared" si="41"/>
        <v>S</v>
      </c>
      <c r="B105">
        <f t="shared" ca="1" si="46"/>
        <v>3</v>
      </c>
      <c r="C105" t="str">
        <f t="shared" ca="1" si="47"/>
        <v>S</v>
      </c>
      <c r="D105">
        <f t="shared" ca="1" si="48"/>
        <v>0</v>
      </c>
      <c r="E105" t="e">
        <f ca="1">IF($C105=1,OFFSET(E105,-1,0)+MAX(1,COUNTIF([1]QCI!$A$13:$A$24,OFFSET(ORÇAMENTO!E105,-1,0))),OFFSET(E105,-1,0))</f>
        <v>#VALUE!</v>
      </c>
      <c r="F105">
        <f t="shared" ca="1" si="49"/>
        <v>2</v>
      </c>
      <c r="G105">
        <f t="shared" ca="1" si="50"/>
        <v>7</v>
      </c>
      <c r="H105">
        <f t="shared" ca="1" si="51"/>
        <v>0</v>
      </c>
      <c r="I105" t="e">
        <f t="shared" ca="1" si="52"/>
        <v>#VALUE!</v>
      </c>
      <c r="J105">
        <f t="shared" ca="1" si="59"/>
        <v>0</v>
      </c>
      <c r="K105">
        <f ca="1">IF(OR($C105="S",$C105=0),0,MATCH(OFFSET($D105,0,$C105)+IF($C105&lt;&gt;1,1,COUNTIF([1]QCI!$A$13:$A$24,ORÇAMENTO!E105)),OFFSET($D105,1,$C105,ROW($C$145)-ROW($C105)),0))</f>
        <v>0</v>
      </c>
      <c r="L105" s="42" t="e">
        <f t="shared" ca="1" si="53"/>
        <v>#VALUE!</v>
      </c>
      <c r="M105" s="43" t="s">
        <v>7</v>
      </c>
      <c r="N105" s="44" t="str">
        <f t="shared" ca="1" si="54"/>
        <v>Serviço</v>
      </c>
      <c r="O105" s="45" t="e">
        <f t="shared" ca="1" si="55"/>
        <v>#VALUE!</v>
      </c>
      <c r="P105" s="46" t="s">
        <v>62</v>
      </c>
      <c r="Q105" s="47" t="s">
        <v>185</v>
      </c>
      <c r="R105" s="48" t="s">
        <v>186</v>
      </c>
      <c r="S105" s="49" t="s">
        <v>75</v>
      </c>
      <c r="T105" s="50" t="e">
        <f ca="1">OFFSET([1]CÁLCULO!H$15,ROW($T105)-ROW(T$15),0)</f>
        <v>#VALUE!</v>
      </c>
      <c r="U105" s="51">
        <v>657.76</v>
      </c>
      <c r="V105" s="52" t="s">
        <v>10</v>
      </c>
      <c r="W105" s="50">
        <f ca="1">IF($C105="S",ROUND(IF(TIPOORCAMENTO="Proposto",ORÇAMENTO.CustoUnitario*(1+$AH105),ORÇAMENTO.PrecoUnitarioLicitado),15-13*$AF$10),0)</f>
        <v>803.98004800000001</v>
      </c>
      <c r="X105" s="53" t="e">
        <f t="shared" ca="1" si="42"/>
        <v>#VALUE!</v>
      </c>
      <c r="Y105" s="54" t="s">
        <v>63</v>
      </c>
      <c r="Z105" t="e">
        <f t="shared" ca="1" si="56"/>
        <v>#VALUE!</v>
      </c>
      <c r="AA105" s="55" t="e">
        <f ca="1">IF($C105="S",IF($Z105="CP",$X105,IF($Z105="RA",(($X105)*[1]QCI!$AA$3),0)),SomaAgrup)</f>
        <v>#VALUE!</v>
      </c>
      <c r="AB105" s="56" t="e">
        <f t="shared" ca="1" si="43"/>
        <v>#VALUE!</v>
      </c>
      <c r="AC105" s="57" t="e">
        <f ca="1">IF($N105="","",IF(ORÇAMENTO.Descricao="","DESCRIÇÃO",IF(AND($C105="S",ORÇAMENTO.Unidade=""),"UNIDADE",IF($X105&lt;0,"VALOR NEGATIVO",IF(OR(AND(TIPOORCAMENTO="Proposto",$AG105&lt;&gt;"",$AG105&gt;0,ORÇAMENTO.CustoUnitario&gt;$AG105),AND(TIPOORCAMENTO="LICITADO",ORÇAMENTO.PrecoUnitarioLicitado&gt;$AN105)),"ACIMA REF.","")))))</f>
        <v>#VALUE!</v>
      </c>
      <c r="AD105" t="str">
        <f ca="1">IF(C105&lt;=CRONO.NivelExibicao,MAX($AD$15:OFFSET(AD105,-1,0))+IF($C105&lt;&gt;1,1,MAX(1,COUNTIF([1]QCI!$A$13:$A$24,OFFSET($E105,-1,0)))),"")</f>
        <v/>
      </c>
      <c r="AE105" s="4" t="str">
        <f ca="1">IF(AND($C105="S",ORÇAMENTO.CodBarra&lt;&gt;""),IF(ORÇAMENTO.Fonte="",ORÇAMENTO.CodBarra,CONCATENATE(ORÇAMENTO.Fonte," ",ORÇAMENTO.CodBarra)))</f>
        <v>SINAPI AUX1456</v>
      </c>
      <c r="AF105" s="58" t="e">
        <f ca="1">IF(ISERROR(INDIRECT(ORÇAMENTO.BancoRef)),"(abra o arquivo 'Referência "&amp;Excel_BuiltIn_Database&amp;".xls)",IF(OR($C105&lt;&gt;"S",ORÇAMENTO.CodBarra=""),"(Sem Código)",IF(ISERROR(MATCH($AE105,INDIRECT(ORÇAMENTO.BancoRef),0)),"(Código não identificado nas referências)",MATCH($AE105,INDIRECT(ORÇAMENTO.BancoRef),0))))</f>
        <v>#VALUE!</v>
      </c>
      <c r="AG105" s="59" t="e">
        <f ca="1">ROUND(IF(DESONERACAO="sim",REFERENCIA.Desonerado,REFERENCIA.NaoDesonerado),2)</f>
        <v>#VALUE!</v>
      </c>
      <c r="AH105" s="60">
        <f t="shared" si="44"/>
        <v>0.2223</v>
      </c>
      <c r="AJ105" s="61">
        <v>3.3</v>
      </c>
      <c r="AL105" s="62"/>
      <c r="AM105" s="63" t="e">
        <f t="shared" ca="1" si="0"/>
        <v>#VALUE!</v>
      </c>
      <c r="AN105" s="64">
        <f t="shared" si="45"/>
        <v>803.98</v>
      </c>
    </row>
    <row r="106" spans="1:40" ht="25.5" x14ac:dyDescent="0.2">
      <c r="A106" t="str">
        <f t="shared" si="41"/>
        <v>S</v>
      </c>
      <c r="B106">
        <f t="shared" ca="1" si="46"/>
        <v>3</v>
      </c>
      <c r="C106" t="str">
        <f t="shared" ca="1" si="47"/>
        <v>S</v>
      </c>
      <c r="D106">
        <f t="shared" ca="1" si="48"/>
        <v>0</v>
      </c>
      <c r="E106" t="e">
        <f ca="1">IF($C106=1,OFFSET(E106,-1,0)+MAX(1,COUNTIF([1]QCI!$A$13:$A$24,OFFSET(ORÇAMENTO!E106,-1,0))),OFFSET(E106,-1,0))</f>
        <v>#VALUE!</v>
      </c>
      <c r="F106">
        <f t="shared" ca="1" si="49"/>
        <v>2</v>
      </c>
      <c r="G106">
        <f t="shared" ca="1" si="50"/>
        <v>7</v>
      </c>
      <c r="H106">
        <f t="shared" ca="1" si="51"/>
        <v>0</v>
      </c>
      <c r="I106" t="e">
        <f t="shared" ca="1" si="52"/>
        <v>#VALUE!</v>
      </c>
      <c r="J106">
        <f t="shared" ca="1" si="59"/>
        <v>0</v>
      </c>
      <c r="K106">
        <f ca="1">IF(OR($C106="S",$C106=0),0,MATCH(OFFSET($D106,0,$C106)+IF($C106&lt;&gt;1,1,COUNTIF([1]QCI!$A$13:$A$24,ORÇAMENTO!E106)),OFFSET($D106,1,$C106,ROW($C$145)-ROW($C106)),0))</f>
        <v>0</v>
      </c>
      <c r="L106" s="42" t="e">
        <f t="shared" ca="1" si="53"/>
        <v>#VALUE!</v>
      </c>
      <c r="M106" s="43" t="s">
        <v>7</v>
      </c>
      <c r="N106" s="44" t="str">
        <f t="shared" ca="1" si="54"/>
        <v>Serviço</v>
      </c>
      <c r="O106" s="45" t="e">
        <f t="shared" ca="1" si="55"/>
        <v>#VALUE!</v>
      </c>
      <c r="P106" s="46" t="s">
        <v>62</v>
      </c>
      <c r="Q106" s="47">
        <v>86906</v>
      </c>
      <c r="R106" s="48" t="s">
        <v>187</v>
      </c>
      <c r="S106" s="49" t="s">
        <v>85</v>
      </c>
      <c r="T106" s="50" t="e">
        <f ca="1">OFFSET([1]CÁLCULO!H$15,ROW($T106)-ROW(T$15),0)</f>
        <v>#VALUE!</v>
      </c>
      <c r="U106" s="51" t="e">
        <f t="shared" ca="1" si="60"/>
        <v>#VALUE!</v>
      </c>
      <c r="V106" s="52" t="s">
        <v>10</v>
      </c>
      <c r="W106" s="50" t="e">
        <f ca="1">IF($C106="S",ROUND(IF(TIPOORCAMENTO="Proposto",ORÇAMENTO.CustoUnitario*(1+$AH106),ORÇAMENTO.PrecoUnitarioLicitado),15-13*$AF$10),0)</f>
        <v>#VALUE!</v>
      </c>
      <c r="X106" s="53" t="e">
        <f t="shared" ca="1" si="42"/>
        <v>#VALUE!</v>
      </c>
      <c r="Y106" s="54" t="s">
        <v>63</v>
      </c>
      <c r="Z106" t="e">
        <f t="shared" ca="1" si="56"/>
        <v>#VALUE!</v>
      </c>
      <c r="AA106" s="55" t="e">
        <f ca="1">IF($C106="S",IF($Z106="CP",$X106,IF($Z106="RA",(($X106)*[1]QCI!$AA$3),0)),SomaAgrup)</f>
        <v>#VALUE!</v>
      </c>
      <c r="AB106" s="56" t="e">
        <f t="shared" ca="1" si="43"/>
        <v>#VALUE!</v>
      </c>
      <c r="AC106" s="57" t="e">
        <f ca="1">IF($N106="","",IF(ORÇAMENTO.Descricao="","DESCRIÇÃO",IF(AND($C106="S",ORÇAMENTO.Unidade=""),"UNIDADE",IF($X106&lt;0,"VALOR NEGATIVO",IF(OR(AND(TIPOORCAMENTO="Proposto",$AG106&lt;&gt;"",$AG106&gt;0,ORÇAMENTO.CustoUnitario&gt;$AG106),AND(TIPOORCAMENTO="LICITADO",ORÇAMENTO.PrecoUnitarioLicitado&gt;$AN106)),"ACIMA REF.","")))))</f>
        <v>#VALUE!</v>
      </c>
      <c r="AD106" t="str">
        <f ca="1">IF(C106&lt;=CRONO.NivelExibicao,MAX($AD$15:OFFSET(AD106,-1,0))+IF($C106&lt;&gt;1,1,MAX(1,COUNTIF([1]QCI!$A$13:$A$24,OFFSET($E106,-1,0)))),"")</f>
        <v/>
      </c>
      <c r="AE106" s="4" t="str">
        <f ca="1">IF(AND($C106="S",ORÇAMENTO.CodBarra&lt;&gt;""),IF(ORÇAMENTO.Fonte="",ORÇAMENTO.CodBarra,CONCATENATE(ORÇAMENTO.Fonte," ",ORÇAMENTO.CodBarra)))</f>
        <v>SINAPI 86906</v>
      </c>
      <c r="AF106" s="58" t="e">
        <f ca="1">IF(ISERROR(INDIRECT(ORÇAMENTO.BancoRef)),"(abra o arquivo 'Referência "&amp;Excel_BuiltIn_Database&amp;".xls)",IF(OR($C106&lt;&gt;"S",ORÇAMENTO.CodBarra=""),"(Sem Código)",IF(ISERROR(MATCH($AE106,INDIRECT(ORÇAMENTO.BancoRef),0)),"(Código não identificado nas referências)",MATCH($AE106,INDIRECT(ORÇAMENTO.BancoRef),0))))</f>
        <v>#VALUE!</v>
      </c>
      <c r="AG106" s="59" t="e">
        <f ca="1">ROUND(IF(DESONERACAO="sim",REFERENCIA.Desonerado,REFERENCIA.NaoDesonerado),2)</f>
        <v>#VALUE!</v>
      </c>
      <c r="AH106" s="60">
        <f t="shared" si="44"/>
        <v>0.2223</v>
      </c>
      <c r="AJ106" s="61">
        <v>8</v>
      </c>
      <c r="AL106" s="62"/>
      <c r="AM106" s="63" t="e">
        <f t="shared" ca="1" si="0"/>
        <v>#VALUE!</v>
      </c>
      <c r="AN106" s="64" t="e">
        <f t="shared" ca="1" si="45"/>
        <v>#VALUE!</v>
      </c>
    </row>
    <row r="107" spans="1:40" ht="38.25" x14ac:dyDescent="0.2">
      <c r="A107" t="str">
        <f t="shared" si="41"/>
        <v>S</v>
      </c>
      <c r="B107">
        <f t="shared" ca="1" si="46"/>
        <v>3</v>
      </c>
      <c r="C107" t="str">
        <f t="shared" ca="1" si="47"/>
        <v>S</v>
      </c>
      <c r="D107">
        <f t="shared" ca="1" si="48"/>
        <v>0</v>
      </c>
      <c r="E107" t="e">
        <f ca="1">IF($C107=1,OFFSET(E107,-1,0)+MAX(1,COUNTIF([1]QCI!$A$13:$A$24,OFFSET(ORÇAMENTO!E107,-1,0))),OFFSET(E107,-1,0))</f>
        <v>#VALUE!</v>
      </c>
      <c r="F107">
        <f t="shared" ca="1" si="49"/>
        <v>2</v>
      </c>
      <c r="G107">
        <f t="shared" ca="1" si="50"/>
        <v>7</v>
      </c>
      <c r="H107">
        <f t="shared" ca="1" si="51"/>
        <v>0</v>
      </c>
      <c r="I107" t="e">
        <f t="shared" ca="1" si="52"/>
        <v>#VALUE!</v>
      </c>
      <c r="J107">
        <f t="shared" ca="1" si="59"/>
        <v>0</v>
      </c>
      <c r="K107">
        <f ca="1">IF(OR($C107="S",$C107=0),0,MATCH(OFFSET($D107,0,$C107)+IF($C107&lt;&gt;1,1,COUNTIF([1]QCI!$A$13:$A$24,ORÇAMENTO!E107)),OFFSET($D107,1,$C107,ROW($C$145)-ROW($C107)),0))</f>
        <v>0</v>
      </c>
      <c r="L107" s="42" t="e">
        <f t="shared" ca="1" si="53"/>
        <v>#VALUE!</v>
      </c>
      <c r="M107" s="43" t="s">
        <v>7</v>
      </c>
      <c r="N107" s="44" t="str">
        <f t="shared" ca="1" si="54"/>
        <v>Serviço</v>
      </c>
      <c r="O107" s="45" t="e">
        <f t="shared" ca="1" si="55"/>
        <v>#VALUE!</v>
      </c>
      <c r="P107" s="46" t="s">
        <v>62</v>
      </c>
      <c r="Q107" s="47">
        <v>86904</v>
      </c>
      <c r="R107" s="48" t="s">
        <v>188</v>
      </c>
      <c r="S107" s="49" t="s">
        <v>85</v>
      </c>
      <c r="T107" s="50" t="e">
        <f ca="1">OFFSET([1]CÁLCULO!H$15,ROW($T107)-ROW(T$15),0)</f>
        <v>#VALUE!</v>
      </c>
      <c r="U107" s="51" t="e">
        <f t="shared" ca="1" si="60"/>
        <v>#VALUE!</v>
      </c>
      <c r="V107" s="52" t="s">
        <v>10</v>
      </c>
      <c r="W107" s="50" t="e">
        <f ca="1">IF($C107="S",ROUND(IF(TIPOORCAMENTO="Proposto",ORÇAMENTO.CustoUnitario*(1+$AH107),ORÇAMENTO.PrecoUnitarioLicitado),15-13*$AF$10),0)</f>
        <v>#VALUE!</v>
      </c>
      <c r="X107" s="53" t="e">
        <f t="shared" ca="1" si="42"/>
        <v>#VALUE!</v>
      </c>
      <c r="Y107" s="54" t="s">
        <v>63</v>
      </c>
      <c r="Z107" t="e">
        <f t="shared" ca="1" si="56"/>
        <v>#VALUE!</v>
      </c>
      <c r="AA107" s="55" t="e">
        <f ca="1">IF($C107="S",IF($Z107="CP",$X107,IF($Z107="RA",(($X107)*[1]QCI!$AA$3),0)),SomaAgrup)</f>
        <v>#VALUE!</v>
      </c>
      <c r="AB107" s="56" t="e">
        <f t="shared" ca="1" si="43"/>
        <v>#VALUE!</v>
      </c>
      <c r="AC107" s="57" t="e">
        <f ca="1">IF($N107="","",IF(ORÇAMENTO.Descricao="","DESCRIÇÃO",IF(AND($C107="S",ORÇAMENTO.Unidade=""),"UNIDADE",IF($X107&lt;0,"VALOR NEGATIVO",IF(OR(AND(TIPOORCAMENTO="Proposto",$AG107&lt;&gt;"",$AG107&gt;0,ORÇAMENTO.CustoUnitario&gt;$AG107),AND(TIPOORCAMENTO="LICITADO",ORÇAMENTO.PrecoUnitarioLicitado&gt;$AN107)),"ACIMA REF.","")))))</f>
        <v>#VALUE!</v>
      </c>
      <c r="AD107" t="str">
        <f ca="1">IF(C107&lt;=CRONO.NivelExibicao,MAX($AD$15:OFFSET(AD107,-1,0))+IF($C107&lt;&gt;1,1,MAX(1,COUNTIF([1]QCI!$A$13:$A$24,OFFSET($E107,-1,0)))),"")</f>
        <v/>
      </c>
      <c r="AE107" s="4" t="str">
        <f ca="1">IF(AND($C107="S",ORÇAMENTO.CodBarra&lt;&gt;""),IF(ORÇAMENTO.Fonte="",ORÇAMENTO.CodBarra,CONCATENATE(ORÇAMENTO.Fonte," ",ORÇAMENTO.CodBarra)))</f>
        <v>SINAPI 86904</v>
      </c>
      <c r="AF107" s="58" t="e">
        <f ca="1">IF(ISERROR(INDIRECT(ORÇAMENTO.BancoRef)),"(abra o arquivo 'Referência "&amp;Excel_BuiltIn_Database&amp;".xls)",IF(OR($C107&lt;&gt;"S",ORÇAMENTO.CodBarra=""),"(Sem Código)",IF(ISERROR(MATCH($AE107,INDIRECT(ORÇAMENTO.BancoRef),0)),"(Código não identificado nas referências)",MATCH($AE107,INDIRECT(ORÇAMENTO.BancoRef),0))))</f>
        <v>#VALUE!</v>
      </c>
      <c r="AG107" s="59" t="e">
        <f ca="1">ROUND(IF(DESONERACAO="sim",REFERENCIA.Desonerado,REFERENCIA.NaoDesonerado),2)</f>
        <v>#VALUE!</v>
      </c>
      <c r="AH107" s="60">
        <f t="shared" si="44"/>
        <v>0.2223</v>
      </c>
      <c r="AJ107" s="61">
        <v>1</v>
      </c>
      <c r="AL107" s="62"/>
      <c r="AM107" s="63" t="e">
        <f t="shared" ca="1" si="0"/>
        <v>#VALUE!</v>
      </c>
      <c r="AN107" s="64" t="e">
        <f t="shared" ca="1" si="45"/>
        <v>#VALUE!</v>
      </c>
    </row>
    <row r="108" spans="1:40" ht="38.25" x14ac:dyDescent="0.2">
      <c r="A108" t="str">
        <f t="shared" si="41"/>
        <v>S</v>
      </c>
      <c r="B108">
        <f t="shared" ca="1" si="46"/>
        <v>3</v>
      </c>
      <c r="C108" t="str">
        <f t="shared" ca="1" si="47"/>
        <v>S</v>
      </c>
      <c r="D108">
        <f t="shared" ca="1" si="48"/>
        <v>0</v>
      </c>
      <c r="E108" t="e">
        <f ca="1">IF($C108=1,OFFSET(E108,-1,0)+MAX(1,COUNTIF([1]QCI!$A$13:$A$24,OFFSET(ORÇAMENTO!E108,-1,0))),OFFSET(E108,-1,0))</f>
        <v>#VALUE!</v>
      </c>
      <c r="F108">
        <f t="shared" ca="1" si="49"/>
        <v>2</v>
      </c>
      <c r="G108">
        <f t="shared" ca="1" si="50"/>
        <v>7</v>
      </c>
      <c r="H108">
        <f t="shared" ca="1" si="51"/>
        <v>0</v>
      </c>
      <c r="I108" t="e">
        <f t="shared" ca="1" si="52"/>
        <v>#VALUE!</v>
      </c>
      <c r="J108">
        <f t="shared" ca="1" si="59"/>
        <v>0</v>
      </c>
      <c r="K108">
        <f ca="1">IF(OR($C108="S",$C108=0),0,MATCH(OFFSET($D108,0,$C108)+IF($C108&lt;&gt;1,1,COUNTIF([1]QCI!$A$13:$A$24,ORÇAMENTO!E108)),OFFSET($D108,1,$C108,ROW($C$145)-ROW($C108)),0))</f>
        <v>0</v>
      </c>
      <c r="L108" s="42" t="e">
        <f t="shared" ca="1" si="53"/>
        <v>#VALUE!</v>
      </c>
      <c r="M108" s="43" t="s">
        <v>7</v>
      </c>
      <c r="N108" s="44" t="str">
        <f t="shared" ca="1" si="54"/>
        <v>Serviço</v>
      </c>
      <c r="O108" s="45" t="e">
        <f t="shared" ca="1" si="55"/>
        <v>#VALUE!</v>
      </c>
      <c r="P108" s="46" t="s">
        <v>62</v>
      </c>
      <c r="Q108" s="47">
        <v>100865</v>
      </c>
      <c r="R108" s="48" t="s">
        <v>189</v>
      </c>
      <c r="S108" s="49" t="s">
        <v>85</v>
      </c>
      <c r="T108" s="50" t="e">
        <f ca="1">OFFSET([1]CÁLCULO!H$15,ROW($T108)-ROW(T$15),0)</f>
        <v>#VALUE!</v>
      </c>
      <c r="U108" s="51" t="e">
        <f t="shared" ca="1" si="60"/>
        <v>#VALUE!</v>
      </c>
      <c r="V108" s="52" t="s">
        <v>10</v>
      </c>
      <c r="W108" s="50" t="e">
        <f ca="1">IF($C108="S",ROUND(IF(TIPOORCAMENTO="Proposto",ORÇAMENTO.CustoUnitario*(1+$AH108),ORÇAMENTO.PrecoUnitarioLicitado),15-13*$AF$10),0)</f>
        <v>#VALUE!</v>
      </c>
      <c r="X108" s="53" t="e">
        <f t="shared" ca="1" si="42"/>
        <v>#VALUE!</v>
      </c>
      <c r="Y108" s="54" t="s">
        <v>63</v>
      </c>
      <c r="Z108" t="e">
        <f t="shared" ca="1" si="56"/>
        <v>#VALUE!</v>
      </c>
      <c r="AA108" s="55" t="e">
        <f ca="1">IF($C108="S",IF($Z108="CP",$X108,IF($Z108="RA",(($X108)*[1]QCI!$AA$3),0)),SomaAgrup)</f>
        <v>#VALUE!</v>
      </c>
      <c r="AB108" s="56" t="e">
        <f t="shared" ca="1" si="43"/>
        <v>#VALUE!</v>
      </c>
      <c r="AC108" s="57" t="e">
        <f ca="1">IF($N108="","",IF(ORÇAMENTO.Descricao="","DESCRIÇÃO",IF(AND($C108="S",ORÇAMENTO.Unidade=""),"UNIDADE",IF($X108&lt;0,"VALOR NEGATIVO",IF(OR(AND(TIPOORCAMENTO="Proposto",$AG108&lt;&gt;"",$AG108&gt;0,ORÇAMENTO.CustoUnitario&gt;$AG108),AND(TIPOORCAMENTO="LICITADO",ORÇAMENTO.PrecoUnitarioLicitado&gt;$AN108)),"ACIMA REF.","")))))</f>
        <v>#VALUE!</v>
      </c>
      <c r="AD108" t="str">
        <f ca="1">IF(C108&lt;=CRONO.NivelExibicao,MAX($AD$15:OFFSET(AD108,-1,0))+IF($C108&lt;&gt;1,1,MAX(1,COUNTIF([1]QCI!$A$13:$A$24,OFFSET($E108,-1,0)))),"")</f>
        <v/>
      </c>
      <c r="AE108" s="4" t="str">
        <f ca="1">IF(AND($C108="S",ORÇAMENTO.CodBarra&lt;&gt;""),IF(ORÇAMENTO.Fonte="",ORÇAMENTO.CodBarra,CONCATENATE(ORÇAMENTO.Fonte," ",ORÇAMENTO.CodBarra)))</f>
        <v>SINAPI 100865</v>
      </c>
      <c r="AF108" s="58" t="e">
        <f ca="1">IF(ISERROR(INDIRECT(ORÇAMENTO.BancoRef)),"(abra o arquivo 'Referência "&amp;Excel_BuiltIn_Database&amp;".xls)",IF(OR($C108&lt;&gt;"S",ORÇAMENTO.CodBarra=""),"(Sem Código)",IF(ISERROR(MATCH($AE108,INDIRECT(ORÇAMENTO.BancoRef),0)),"(Código não identificado nas referências)",MATCH($AE108,INDIRECT(ORÇAMENTO.BancoRef),0))))</f>
        <v>#VALUE!</v>
      </c>
      <c r="AG108" s="59" t="e">
        <f ca="1">ROUND(IF(DESONERACAO="sim",REFERENCIA.Desonerado,REFERENCIA.NaoDesonerado),2)</f>
        <v>#VALUE!</v>
      </c>
      <c r="AH108" s="60">
        <f t="shared" si="44"/>
        <v>0.2223</v>
      </c>
      <c r="AJ108" s="61">
        <v>1</v>
      </c>
      <c r="AL108" s="62"/>
      <c r="AM108" s="63" t="e">
        <f t="shared" ca="1" si="0"/>
        <v>#VALUE!</v>
      </c>
      <c r="AN108" s="64" t="e">
        <f t="shared" ca="1" si="45"/>
        <v>#VALUE!</v>
      </c>
    </row>
    <row r="109" spans="1:40" ht="38.25" x14ac:dyDescent="0.2">
      <c r="A109" t="str">
        <f t="shared" si="41"/>
        <v>S</v>
      </c>
      <c r="B109">
        <f t="shared" ca="1" si="46"/>
        <v>3</v>
      </c>
      <c r="C109" t="str">
        <f t="shared" ca="1" si="47"/>
        <v>S</v>
      </c>
      <c r="D109">
        <f t="shared" ca="1" si="48"/>
        <v>0</v>
      </c>
      <c r="E109" t="e">
        <f ca="1">IF($C109=1,OFFSET(E109,-1,0)+MAX(1,COUNTIF([1]QCI!$A$13:$A$24,OFFSET(ORÇAMENTO!E109,-1,0))),OFFSET(E109,-1,0))</f>
        <v>#VALUE!</v>
      </c>
      <c r="F109">
        <f t="shared" ca="1" si="49"/>
        <v>2</v>
      </c>
      <c r="G109">
        <f t="shared" ca="1" si="50"/>
        <v>7</v>
      </c>
      <c r="H109">
        <f t="shared" ca="1" si="51"/>
        <v>0</v>
      </c>
      <c r="I109" t="e">
        <f t="shared" ca="1" si="52"/>
        <v>#VALUE!</v>
      </c>
      <c r="J109">
        <f t="shared" ca="1" si="59"/>
        <v>0</v>
      </c>
      <c r="K109">
        <f ca="1">IF(OR($C109="S",$C109=0),0,MATCH(OFFSET($D109,0,$C109)+IF($C109&lt;&gt;1,1,COUNTIF([1]QCI!$A$13:$A$24,ORÇAMENTO!E109)),OFFSET($D109,1,$C109,ROW($C$145)-ROW($C109)),0))</f>
        <v>0</v>
      </c>
      <c r="L109" s="42" t="e">
        <f t="shared" ca="1" si="53"/>
        <v>#VALUE!</v>
      </c>
      <c r="M109" s="43" t="s">
        <v>7</v>
      </c>
      <c r="N109" s="44" t="str">
        <f t="shared" ca="1" si="54"/>
        <v>Serviço</v>
      </c>
      <c r="O109" s="45" t="e">
        <f t="shared" ca="1" si="55"/>
        <v>#VALUE!</v>
      </c>
      <c r="P109" s="46" t="s">
        <v>62</v>
      </c>
      <c r="Q109" s="47">
        <v>100867</v>
      </c>
      <c r="R109" s="48" t="s">
        <v>190</v>
      </c>
      <c r="S109" s="49" t="s">
        <v>85</v>
      </c>
      <c r="T109" s="50" t="e">
        <f ca="1">OFFSET([1]CÁLCULO!H$15,ROW($T109)-ROW(T$15),0)</f>
        <v>#VALUE!</v>
      </c>
      <c r="U109" s="51" t="e">
        <f t="shared" ca="1" si="60"/>
        <v>#VALUE!</v>
      </c>
      <c r="V109" s="52" t="s">
        <v>10</v>
      </c>
      <c r="W109" s="50" t="e">
        <f ca="1">IF($C109="S",ROUND(IF(TIPOORCAMENTO="Proposto",ORÇAMENTO.CustoUnitario*(1+$AH109),ORÇAMENTO.PrecoUnitarioLicitado),15-13*$AF$10),0)</f>
        <v>#VALUE!</v>
      </c>
      <c r="X109" s="53" t="e">
        <f t="shared" ca="1" si="42"/>
        <v>#VALUE!</v>
      </c>
      <c r="Y109" s="54" t="s">
        <v>63</v>
      </c>
      <c r="Z109" t="e">
        <f t="shared" ca="1" si="56"/>
        <v>#VALUE!</v>
      </c>
      <c r="AA109" s="55" t="e">
        <f ca="1">IF($C109="S",IF($Z109="CP",$X109,IF($Z109="RA",(($X109)*[1]QCI!$AA$3),0)),SomaAgrup)</f>
        <v>#VALUE!</v>
      </c>
      <c r="AB109" s="56" t="e">
        <f t="shared" ca="1" si="43"/>
        <v>#VALUE!</v>
      </c>
      <c r="AC109" s="57" t="e">
        <f ca="1">IF($N109="","",IF(ORÇAMENTO.Descricao="","DESCRIÇÃO",IF(AND($C109="S",ORÇAMENTO.Unidade=""),"UNIDADE",IF($X109&lt;0,"VALOR NEGATIVO",IF(OR(AND(TIPOORCAMENTO="Proposto",$AG109&lt;&gt;"",$AG109&gt;0,ORÇAMENTO.CustoUnitario&gt;$AG109),AND(TIPOORCAMENTO="LICITADO",ORÇAMENTO.PrecoUnitarioLicitado&gt;$AN109)),"ACIMA REF.","")))))</f>
        <v>#VALUE!</v>
      </c>
      <c r="AD109" t="str">
        <f ca="1">IF(C109&lt;=CRONO.NivelExibicao,MAX($AD$15:OFFSET(AD109,-1,0))+IF($C109&lt;&gt;1,1,MAX(1,COUNTIF([1]QCI!$A$13:$A$24,OFFSET($E109,-1,0)))),"")</f>
        <v/>
      </c>
      <c r="AE109" s="4" t="str">
        <f ca="1">IF(AND($C109="S",ORÇAMENTO.CodBarra&lt;&gt;""),IF(ORÇAMENTO.Fonte="",ORÇAMENTO.CodBarra,CONCATENATE(ORÇAMENTO.Fonte," ",ORÇAMENTO.CodBarra)))</f>
        <v>SINAPI 100867</v>
      </c>
      <c r="AF109" s="58" t="e">
        <f ca="1">IF(ISERROR(INDIRECT(ORÇAMENTO.BancoRef)),"(abra o arquivo 'Referência "&amp;Excel_BuiltIn_Database&amp;".xls)",IF(OR($C109&lt;&gt;"S",ORÇAMENTO.CodBarra=""),"(Sem Código)",IF(ISERROR(MATCH($AE109,INDIRECT(ORÇAMENTO.BancoRef),0)),"(Código não identificado nas referências)",MATCH($AE109,INDIRECT(ORÇAMENTO.BancoRef),0))))</f>
        <v>#VALUE!</v>
      </c>
      <c r="AG109" s="59" t="e">
        <f ca="1">ROUND(IF(DESONERACAO="sim",REFERENCIA.Desonerado,REFERENCIA.NaoDesonerado),2)</f>
        <v>#VALUE!</v>
      </c>
      <c r="AH109" s="60">
        <f t="shared" si="44"/>
        <v>0.2223</v>
      </c>
      <c r="AJ109" s="61">
        <v>2</v>
      </c>
      <c r="AL109" s="62"/>
      <c r="AM109" s="63" t="e">
        <f t="shared" ca="1" si="0"/>
        <v>#VALUE!</v>
      </c>
      <c r="AN109" s="64" t="e">
        <f t="shared" ca="1" si="45"/>
        <v>#VALUE!</v>
      </c>
    </row>
    <row r="110" spans="1:40" ht="38.25" x14ac:dyDescent="0.2">
      <c r="A110" t="str">
        <f t="shared" si="41"/>
        <v>S</v>
      </c>
      <c r="B110">
        <f t="shared" ca="1" si="46"/>
        <v>3</v>
      </c>
      <c r="C110" t="str">
        <f t="shared" ca="1" si="47"/>
        <v>S</v>
      </c>
      <c r="D110">
        <f t="shared" ca="1" si="48"/>
        <v>0</v>
      </c>
      <c r="E110" t="e">
        <f ca="1">IF($C110=1,OFFSET(E110,-1,0)+MAX(1,COUNTIF([1]QCI!$A$13:$A$24,OFFSET(ORÇAMENTO!E110,-1,0))),OFFSET(E110,-1,0))</f>
        <v>#VALUE!</v>
      </c>
      <c r="F110">
        <f t="shared" ca="1" si="49"/>
        <v>2</v>
      </c>
      <c r="G110">
        <f t="shared" ca="1" si="50"/>
        <v>7</v>
      </c>
      <c r="H110">
        <f t="shared" ca="1" si="51"/>
        <v>0</v>
      </c>
      <c r="I110" t="e">
        <f t="shared" ca="1" si="52"/>
        <v>#VALUE!</v>
      </c>
      <c r="J110">
        <f t="shared" ca="1" si="59"/>
        <v>0</v>
      </c>
      <c r="K110">
        <f ca="1">IF(OR($C110="S",$C110=0),0,MATCH(OFFSET($D110,0,$C110)+IF($C110&lt;&gt;1,1,COUNTIF([1]QCI!$A$13:$A$24,ORÇAMENTO!E110)),OFFSET($D110,1,$C110,ROW($C$145)-ROW($C110)),0))</f>
        <v>0</v>
      </c>
      <c r="L110" s="42" t="e">
        <f t="shared" ca="1" si="53"/>
        <v>#VALUE!</v>
      </c>
      <c r="M110" s="43" t="s">
        <v>7</v>
      </c>
      <c r="N110" s="44" t="str">
        <f t="shared" ca="1" si="54"/>
        <v>Serviço</v>
      </c>
      <c r="O110" s="45" t="e">
        <f t="shared" ca="1" si="55"/>
        <v>#VALUE!</v>
      </c>
      <c r="P110" s="46" t="s">
        <v>62</v>
      </c>
      <c r="Q110" s="47">
        <v>100868</v>
      </c>
      <c r="R110" s="48" t="s">
        <v>191</v>
      </c>
      <c r="S110" s="49" t="s">
        <v>85</v>
      </c>
      <c r="T110" s="50" t="e">
        <f ca="1">OFFSET([1]CÁLCULO!H$15,ROW($T110)-ROW(T$15),0)</f>
        <v>#VALUE!</v>
      </c>
      <c r="U110" s="51" t="e">
        <f t="shared" ca="1" si="60"/>
        <v>#VALUE!</v>
      </c>
      <c r="V110" s="52" t="s">
        <v>10</v>
      </c>
      <c r="W110" s="50" t="e">
        <f ca="1">IF($C110="S",ROUND(IF(TIPOORCAMENTO="Proposto",ORÇAMENTO.CustoUnitario*(1+$AH110),ORÇAMENTO.PrecoUnitarioLicitado),15-13*$AF$10),0)</f>
        <v>#VALUE!</v>
      </c>
      <c r="X110" s="53" t="e">
        <f t="shared" ca="1" si="42"/>
        <v>#VALUE!</v>
      </c>
      <c r="Y110" s="54" t="s">
        <v>63</v>
      </c>
      <c r="Z110" t="e">
        <f t="shared" ca="1" si="56"/>
        <v>#VALUE!</v>
      </c>
      <c r="AA110" s="55" t="e">
        <f ca="1">IF($C110="S",IF($Z110="CP",$X110,IF($Z110="RA",(($X110)*[1]QCI!$AA$3),0)),SomaAgrup)</f>
        <v>#VALUE!</v>
      </c>
      <c r="AB110" s="56" t="e">
        <f t="shared" ca="1" si="43"/>
        <v>#VALUE!</v>
      </c>
      <c r="AC110" s="57" t="e">
        <f ca="1">IF($N110="","",IF(ORÇAMENTO.Descricao="","DESCRIÇÃO",IF(AND($C110="S",ORÇAMENTO.Unidade=""),"UNIDADE",IF($X110&lt;0,"VALOR NEGATIVO",IF(OR(AND(TIPOORCAMENTO="Proposto",$AG110&lt;&gt;"",$AG110&gt;0,ORÇAMENTO.CustoUnitario&gt;$AG110),AND(TIPOORCAMENTO="LICITADO",ORÇAMENTO.PrecoUnitarioLicitado&gt;$AN110)),"ACIMA REF.","")))))</f>
        <v>#VALUE!</v>
      </c>
      <c r="AD110" t="str">
        <f ca="1">IF(C110&lt;=CRONO.NivelExibicao,MAX($AD$15:OFFSET(AD110,-1,0))+IF($C110&lt;&gt;1,1,MAX(1,COUNTIF([1]QCI!$A$13:$A$24,OFFSET($E110,-1,0)))),"")</f>
        <v/>
      </c>
      <c r="AE110" s="4" t="str">
        <f ca="1">IF(AND($C110="S",ORÇAMENTO.CodBarra&lt;&gt;""),IF(ORÇAMENTO.Fonte="",ORÇAMENTO.CodBarra,CONCATENATE(ORÇAMENTO.Fonte," ",ORÇAMENTO.CodBarra)))</f>
        <v>SINAPI 100868</v>
      </c>
      <c r="AF110" s="58" t="e">
        <f ca="1">IF(ISERROR(INDIRECT(ORÇAMENTO.BancoRef)),"(abra o arquivo 'Referência "&amp;Excel_BuiltIn_Database&amp;".xls)",IF(OR($C110&lt;&gt;"S",ORÇAMENTO.CodBarra=""),"(Sem Código)",IF(ISERROR(MATCH($AE110,INDIRECT(ORÇAMENTO.BancoRef),0)),"(Código não identificado nas referências)",MATCH($AE110,INDIRECT(ORÇAMENTO.BancoRef),0))))</f>
        <v>#VALUE!</v>
      </c>
      <c r="AG110" s="59" t="e">
        <f ca="1">ROUND(IF(DESONERACAO="sim",REFERENCIA.Desonerado,REFERENCIA.NaoDesonerado),2)</f>
        <v>#VALUE!</v>
      </c>
      <c r="AH110" s="60">
        <f t="shared" si="44"/>
        <v>0.2223</v>
      </c>
      <c r="AJ110" s="61">
        <v>1</v>
      </c>
      <c r="AL110" s="62"/>
      <c r="AM110" s="63" t="e">
        <f t="shared" ca="1" si="0"/>
        <v>#VALUE!</v>
      </c>
      <c r="AN110" s="64" t="e">
        <f t="shared" ca="1" si="45"/>
        <v>#VALUE!</v>
      </c>
    </row>
    <row r="111" spans="1:40" ht="25.5" x14ac:dyDescent="0.2">
      <c r="A111" t="str">
        <f t="shared" si="41"/>
        <v>S</v>
      </c>
      <c r="B111">
        <f t="shared" ca="1" si="46"/>
        <v>3</v>
      </c>
      <c r="C111" t="str">
        <f t="shared" ca="1" si="47"/>
        <v>S</v>
      </c>
      <c r="D111">
        <f t="shared" ca="1" si="48"/>
        <v>0</v>
      </c>
      <c r="E111" t="e">
        <f ca="1">IF($C111=1,OFFSET(E111,-1,0)+MAX(1,COUNTIF([1]QCI!$A$13:$A$24,OFFSET(ORÇAMENTO!E111,-1,0))),OFFSET(E111,-1,0))</f>
        <v>#VALUE!</v>
      </c>
      <c r="F111">
        <f t="shared" ca="1" si="49"/>
        <v>2</v>
      </c>
      <c r="G111">
        <f t="shared" ca="1" si="50"/>
        <v>7</v>
      </c>
      <c r="H111">
        <f t="shared" ca="1" si="51"/>
        <v>0</v>
      </c>
      <c r="I111" t="e">
        <f t="shared" ca="1" si="52"/>
        <v>#VALUE!</v>
      </c>
      <c r="J111">
        <f t="shared" ca="1" si="59"/>
        <v>0</v>
      </c>
      <c r="K111">
        <f ca="1">IF(OR($C111="S",$C111=0),0,MATCH(OFFSET($D111,0,$C111)+IF($C111&lt;&gt;1,1,COUNTIF([1]QCI!$A$13:$A$24,ORÇAMENTO!E111)),OFFSET($D111,1,$C111,ROW($C$145)-ROW($C111)),0))</f>
        <v>0</v>
      </c>
      <c r="L111" s="42" t="e">
        <f t="shared" ca="1" si="53"/>
        <v>#VALUE!</v>
      </c>
      <c r="M111" s="43" t="s">
        <v>7</v>
      </c>
      <c r="N111" s="44" t="str">
        <f t="shared" ca="1" si="54"/>
        <v>Serviço</v>
      </c>
      <c r="O111" s="45" t="e">
        <f t="shared" ca="1" si="55"/>
        <v>#VALUE!</v>
      </c>
      <c r="P111" s="46" t="s">
        <v>62</v>
      </c>
      <c r="Q111" s="47">
        <v>95547</v>
      </c>
      <c r="R111" s="48" t="s">
        <v>192</v>
      </c>
      <c r="S111" s="49" t="s">
        <v>85</v>
      </c>
      <c r="T111" s="50" t="e">
        <f ca="1">OFFSET([1]CÁLCULO!H$15,ROW($T111)-ROW(T$15),0)</f>
        <v>#VALUE!</v>
      </c>
      <c r="U111" s="51" t="e">
        <f t="shared" ca="1" si="60"/>
        <v>#VALUE!</v>
      </c>
      <c r="V111" s="52" t="s">
        <v>10</v>
      </c>
      <c r="W111" s="50" t="e">
        <f ca="1">IF($C111="S",ROUND(IF(TIPOORCAMENTO="Proposto",ORÇAMENTO.CustoUnitario*(1+$AH111),ORÇAMENTO.PrecoUnitarioLicitado),15-13*$AF$10),0)</f>
        <v>#VALUE!</v>
      </c>
      <c r="X111" s="53" t="e">
        <f t="shared" ca="1" si="42"/>
        <v>#VALUE!</v>
      </c>
      <c r="Y111" s="54" t="s">
        <v>63</v>
      </c>
      <c r="Z111" t="e">
        <f t="shared" ca="1" si="56"/>
        <v>#VALUE!</v>
      </c>
      <c r="AA111" s="55" t="e">
        <f ca="1">IF($C111="S",IF($Z111="CP",$X111,IF($Z111="RA",(($X111)*[1]QCI!$AA$3),0)),SomaAgrup)</f>
        <v>#VALUE!</v>
      </c>
      <c r="AB111" s="56" t="e">
        <f t="shared" ca="1" si="43"/>
        <v>#VALUE!</v>
      </c>
      <c r="AC111" s="57" t="e">
        <f ca="1">IF($N111="","",IF(ORÇAMENTO.Descricao="","DESCRIÇÃO",IF(AND($C111="S",ORÇAMENTO.Unidade=""),"UNIDADE",IF($X111&lt;0,"VALOR NEGATIVO",IF(OR(AND(TIPOORCAMENTO="Proposto",$AG111&lt;&gt;"",$AG111&gt;0,ORÇAMENTO.CustoUnitario&gt;$AG111),AND(TIPOORCAMENTO="LICITADO",ORÇAMENTO.PrecoUnitarioLicitado&gt;$AN111)),"ACIMA REF.","")))))</f>
        <v>#VALUE!</v>
      </c>
      <c r="AD111" t="str">
        <f ca="1">IF(C111&lt;=CRONO.NivelExibicao,MAX($AD$15:OFFSET(AD111,-1,0))+IF($C111&lt;&gt;1,1,MAX(1,COUNTIF([1]QCI!$A$13:$A$24,OFFSET($E111,-1,0)))),"")</f>
        <v/>
      </c>
      <c r="AE111" s="4" t="str">
        <f ca="1">IF(AND($C111="S",ORÇAMENTO.CodBarra&lt;&gt;""),IF(ORÇAMENTO.Fonte="",ORÇAMENTO.CodBarra,CONCATENATE(ORÇAMENTO.Fonte," ",ORÇAMENTO.CodBarra)))</f>
        <v>SINAPI 95547</v>
      </c>
      <c r="AF111" s="58" t="e">
        <f ca="1">IF(ISERROR(INDIRECT(ORÇAMENTO.BancoRef)),"(abra o arquivo 'Referência "&amp;Excel_BuiltIn_Database&amp;".xls)",IF(OR($C111&lt;&gt;"S",ORÇAMENTO.CodBarra=""),"(Sem Código)",IF(ISERROR(MATCH($AE111,INDIRECT(ORÇAMENTO.BancoRef),0)),"(Código não identificado nas referências)",MATCH($AE111,INDIRECT(ORÇAMENTO.BancoRef),0))))</f>
        <v>#VALUE!</v>
      </c>
      <c r="AG111" s="59" t="e">
        <f ca="1">ROUND(IF(DESONERACAO="sim",REFERENCIA.Desonerado,REFERENCIA.NaoDesonerado),2)</f>
        <v>#VALUE!</v>
      </c>
      <c r="AH111" s="60">
        <f t="shared" si="44"/>
        <v>0.2223</v>
      </c>
      <c r="AJ111" s="61">
        <v>4</v>
      </c>
      <c r="AL111" s="62"/>
      <c r="AM111" s="63" t="e">
        <f t="shared" ca="1" si="0"/>
        <v>#VALUE!</v>
      </c>
      <c r="AN111" s="64" t="e">
        <f t="shared" ca="1" si="45"/>
        <v>#VALUE!</v>
      </c>
    </row>
    <row r="112" spans="1:40" ht="25.5" x14ac:dyDescent="0.2">
      <c r="A112" t="str">
        <f t="shared" si="41"/>
        <v>S</v>
      </c>
      <c r="B112">
        <f t="shared" ca="1" si="46"/>
        <v>3</v>
      </c>
      <c r="C112" t="str">
        <f t="shared" ca="1" si="47"/>
        <v>S</v>
      </c>
      <c r="D112">
        <f t="shared" ca="1" si="48"/>
        <v>0</v>
      </c>
      <c r="E112" t="e">
        <f ca="1">IF($C112=1,OFFSET(E112,-1,0)+MAX(1,COUNTIF([1]QCI!$A$13:$A$24,OFFSET(ORÇAMENTO!E112,-1,0))),OFFSET(E112,-1,0))</f>
        <v>#VALUE!</v>
      </c>
      <c r="F112">
        <f t="shared" ca="1" si="49"/>
        <v>2</v>
      </c>
      <c r="G112">
        <f t="shared" ca="1" si="50"/>
        <v>7</v>
      </c>
      <c r="H112">
        <f t="shared" ca="1" si="51"/>
        <v>0</v>
      </c>
      <c r="I112" t="e">
        <f t="shared" ca="1" si="52"/>
        <v>#VALUE!</v>
      </c>
      <c r="J112">
        <f t="shared" ca="1" si="59"/>
        <v>0</v>
      </c>
      <c r="K112">
        <f ca="1">IF(OR($C112="S",$C112=0),0,MATCH(OFFSET($D112,0,$C112)+IF($C112&lt;&gt;1,1,COUNTIF([1]QCI!$A$13:$A$24,ORÇAMENTO!E112)),OFFSET($D112,1,$C112,ROW($C$145)-ROW($C112)),0))</f>
        <v>0</v>
      </c>
      <c r="L112" s="42" t="e">
        <f t="shared" ca="1" si="53"/>
        <v>#VALUE!</v>
      </c>
      <c r="M112" s="43" t="s">
        <v>7</v>
      </c>
      <c r="N112" s="44" t="str">
        <f t="shared" ca="1" si="54"/>
        <v>Serviço</v>
      </c>
      <c r="O112" s="45" t="e">
        <f t="shared" ca="1" si="55"/>
        <v>#VALUE!</v>
      </c>
      <c r="P112" s="46" t="s">
        <v>62</v>
      </c>
      <c r="Q112" s="47">
        <v>95544</v>
      </c>
      <c r="R112" s="48" t="s">
        <v>193</v>
      </c>
      <c r="S112" s="49" t="s">
        <v>85</v>
      </c>
      <c r="T112" s="50" t="e">
        <f ca="1">OFFSET([1]CÁLCULO!H$15,ROW($T112)-ROW(T$15),0)</f>
        <v>#VALUE!</v>
      </c>
      <c r="U112" s="51" t="e">
        <f t="shared" ca="1" si="60"/>
        <v>#VALUE!</v>
      </c>
      <c r="V112" s="52" t="s">
        <v>10</v>
      </c>
      <c r="W112" s="50" t="e">
        <f ca="1">IF($C112="S",ROUND(IF(TIPOORCAMENTO="Proposto",ORÇAMENTO.CustoUnitario*(1+$AH112),ORÇAMENTO.PrecoUnitarioLicitado),15-13*$AF$10),0)</f>
        <v>#VALUE!</v>
      </c>
      <c r="X112" s="53" t="e">
        <f t="shared" ca="1" si="42"/>
        <v>#VALUE!</v>
      </c>
      <c r="Y112" s="54" t="s">
        <v>63</v>
      </c>
      <c r="Z112" t="e">
        <f t="shared" ca="1" si="56"/>
        <v>#VALUE!</v>
      </c>
      <c r="AA112" s="55" t="e">
        <f ca="1">IF($C112="S",IF($Z112="CP",$X112,IF($Z112="RA",(($X112)*[1]QCI!$AA$3),0)),SomaAgrup)</f>
        <v>#VALUE!</v>
      </c>
      <c r="AB112" s="56" t="e">
        <f t="shared" ca="1" si="43"/>
        <v>#VALUE!</v>
      </c>
      <c r="AC112" s="57" t="e">
        <f ca="1">IF($N112="","",IF(ORÇAMENTO.Descricao="","DESCRIÇÃO",IF(AND($C112="S",ORÇAMENTO.Unidade=""),"UNIDADE",IF($X112&lt;0,"VALOR NEGATIVO",IF(OR(AND(TIPOORCAMENTO="Proposto",$AG112&lt;&gt;"",$AG112&gt;0,ORÇAMENTO.CustoUnitario&gt;$AG112),AND(TIPOORCAMENTO="LICITADO",ORÇAMENTO.PrecoUnitarioLicitado&gt;$AN112)),"ACIMA REF.","")))))</f>
        <v>#VALUE!</v>
      </c>
      <c r="AD112" t="str">
        <f ca="1">IF(C112&lt;=CRONO.NivelExibicao,MAX($AD$15:OFFSET(AD112,-1,0))+IF($C112&lt;&gt;1,1,MAX(1,COUNTIF([1]QCI!$A$13:$A$24,OFFSET($E112,-1,0)))),"")</f>
        <v/>
      </c>
      <c r="AE112" s="4" t="str">
        <f ca="1">IF(AND($C112="S",ORÇAMENTO.CodBarra&lt;&gt;""),IF(ORÇAMENTO.Fonte="",ORÇAMENTO.CodBarra,CONCATENATE(ORÇAMENTO.Fonte," ",ORÇAMENTO.CodBarra)))</f>
        <v>SINAPI 95544</v>
      </c>
      <c r="AF112" s="58" t="e">
        <f ca="1">IF(ISERROR(INDIRECT(ORÇAMENTO.BancoRef)),"(abra o arquivo 'Referência "&amp;Excel_BuiltIn_Database&amp;".xls)",IF(OR($C112&lt;&gt;"S",ORÇAMENTO.CodBarra=""),"(Sem Código)",IF(ISERROR(MATCH($AE112,INDIRECT(ORÇAMENTO.BancoRef),0)),"(Código não identificado nas referências)",MATCH($AE112,INDIRECT(ORÇAMENTO.BancoRef),0))))</f>
        <v>#VALUE!</v>
      </c>
      <c r="AG112" s="59" t="e">
        <f ca="1">ROUND(IF(DESONERACAO="sim",REFERENCIA.Desonerado,REFERENCIA.NaoDesonerado),2)</f>
        <v>#VALUE!</v>
      </c>
      <c r="AH112" s="60">
        <f t="shared" si="44"/>
        <v>0.2223</v>
      </c>
      <c r="AJ112" s="61">
        <v>4</v>
      </c>
      <c r="AL112" s="62"/>
      <c r="AM112" s="63" t="e">
        <f t="shared" ca="1" si="0"/>
        <v>#VALUE!</v>
      </c>
      <c r="AN112" s="64" t="e">
        <f t="shared" ca="1" si="45"/>
        <v>#VALUE!</v>
      </c>
    </row>
    <row r="113" spans="1:40" x14ac:dyDescent="0.2">
      <c r="A113" t="str">
        <f t="shared" si="41"/>
        <v>S</v>
      </c>
      <c r="B113">
        <f t="shared" ca="1" si="46"/>
        <v>3</v>
      </c>
      <c r="C113" t="str">
        <f t="shared" ca="1" si="47"/>
        <v>S</v>
      </c>
      <c r="D113">
        <f t="shared" ca="1" si="48"/>
        <v>0</v>
      </c>
      <c r="E113" t="e">
        <f ca="1">IF($C113=1,OFFSET(E113,-1,0)+MAX(1,COUNTIF([1]QCI!$A$13:$A$24,OFFSET(ORÇAMENTO!E113,-1,0))),OFFSET(E113,-1,0))</f>
        <v>#VALUE!</v>
      </c>
      <c r="F113">
        <f t="shared" ca="1" si="49"/>
        <v>2</v>
      </c>
      <c r="G113">
        <f t="shared" ca="1" si="50"/>
        <v>7</v>
      </c>
      <c r="H113">
        <f t="shared" ca="1" si="51"/>
        <v>0</v>
      </c>
      <c r="I113" t="e">
        <f t="shared" ca="1" si="52"/>
        <v>#VALUE!</v>
      </c>
      <c r="J113">
        <f t="shared" ca="1" si="59"/>
        <v>0</v>
      </c>
      <c r="K113">
        <f ca="1">IF(OR($C113="S",$C113=0),0,MATCH(OFFSET($D113,0,$C113)+IF($C113&lt;&gt;1,1,COUNTIF([1]QCI!$A$13:$A$24,ORÇAMENTO!E113)),OFFSET($D113,1,$C113,ROW($C$145)-ROW($C113)),0))</f>
        <v>0</v>
      </c>
      <c r="L113" s="42" t="e">
        <f t="shared" ca="1" si="53"/>
        <v>#VALUE!</v>
      </c>
      <c r="M113" s="43" t="s">
        <v>7</v>
      </c>
      <c r="N113" s="44" t="str">
        <f t="shared" ca="1" si="54"/>
        <v>Serviço</v>
      </c>
      <c r="O113" s="45" t="e">
        <f t="shared" ca="1" si="55"/>
        <v>#VALUE!</v>
      </c>
      <c r="P113" s="46" t="s">
        <v>70</v>
      </c>
      <c r="Q113" s="47">
        <v>11186</v>
      </c>
      <c r="R113" s="48" t="s">
        <v>194</v>
      </c>
      <c r="S113" s="49" t="s">
        <v>72</v>
      </c>
      <c r="T113" s="50" t="e">
        <f ca="1">OFFSET([1]CÁLCULO!H$15,ROW($T113)-ROW(T$15),0)</f>
        <v>#VALUE!</v>
      </c>
      <c r="U113" s="51" t="e">
        <f t="shared" ca="1" si="60"/>
        <v>#VALUE!</v>
      </c>
      <c r="V113" s="52" t="s">
        <v>10</v>
      </c>
      <c r="W113" s="50" t="e">
        <f ca="1">IF($C113="S",ROUND(IF(TIPOORCAMENTO="Proposto",ORÇAMENTO.CustoUnitario*(1+$AH113),ORÇAMENTO.PrecoUnitarioLicitado),15-13*$AF$10),0)</f>
        <v>#VALUE!</v>
      </c>
      <c r="X113" s="53" t="e">
        <f t="shared" ca="1" si="42"/>
        <v>#VALUE!</v>
      </c>
      <c r="Y113" s="54" t="s">
        <v>63</v>
      </c>
      <c r="Z113" t="e">
        <f t="shared" ca="1" si="56"/>
        <v>#VALUE!</v>
      </c>
      <c r="AA113" s="55" t="e">
        <f ca="1">IF($C113="S",IF($Z113="CP",$X113,IF($Z113="RA",(($X113)*[1]QCI!$AA$3),0)),SomaAgrup)</f>
        <v>#VALUE!</v>
      </c>
      <c r="AB113" s="56" t="e">
        <f t="shared" ca="1" si="43"/>
        <v>#VALUE!</v>
      </c>
      <c r="AC113" s="57" t="e">
        <f ca="1">IF($N113="","",IF(ORÇAMENTO.Descricao="","DESCRIÇÃO",IF(AND($C113="S",ORÇAMENTO.Unidade=""),"UNIDADE",IF($X113&lt;0,"VALOR NEGATIVO",IF(OR(AND(TIPOORCAMENTO="Proposto",$AG113&lt;&gt;"",$AG113&gt;0,ORÇAMENTO.CustoUnitario&gt;$AG113),AND(TIPOORCAMENTO="LICITADO",ORÇAMENTO.PrecoUnitarioLicitado&gt;$AN113)),"ACIMA REF.","")))))</f>
        <v>#VALUE!</v>
      </c>
      <c r="AD113" t="str">
        <f ca="1">IF(C113&lt;=CRONO.NivelExibicao,MAX($AD$15:OFFSET(AD113,-1,0))+IF($C113&lt;&gt;1,1,MAX(1,COUNTIF([1]QCI!$A$13:$A$24,OFFSET($E113,-1,0)))),"")</f>
        <v/>
      </c>
      <c r="AE113" s="4" t="str">
        <f ca="1">IF(AND($C113="S",ORÇAMENTO.CodBarra&lt;&gt;""),IF(ORÇAMENTO.Fonte="",ORÇAMENTO.CodBarra,CONCATENATE(ORÇAMENTO.Fonte," ",ORÇAMENTO.CodBarra)))</f>
        <v>SINAPI-I 11186</v>
      </c>
      <c r="AF113" s="58" t="e">
        <f ca="1">IF(ISERROR(INDIRECT(ORÇAMENTO.BancoRef)),"(abra o arquivo 'Referência "&amp;Excel_BuiltIn_Database&amp;".xls)",IF(OR($C113&lt;&gt;"S",ORÇAMENTO.CodBarra=""),"(Sem Código)",IF(ISERROR(MATCH($AE113,INDIRECT(ORÇAMENTO.BancoRef),0)),"(Código não identificado nas referências)",MATCH($AE113,INDIRECT(ORÇAMENTO.BancoRef),0))))</f>
        <v>#VALUE!</v>
      </c>
      <c r="AG113" s="59" t="e">
        <f ca="1">ROUND(IF(DESONERACAO="sim",REFERENCIA.Desonerado,REFERENCIA.NaoDesonerado),2)</f>
        <v>#VALUE!</v>
      </c>
      <c r="AH113" s="60">
        <f t="shared" si="44"/>
        <v>0.2223</v>
      </c>
      <c r="AJ113" s="61">
        <v>6</v>
      </c>
      <c r="AL113" s="62"/>
      <c r="AM113" s="63" t="e">
        <f t="shared" ca="1" si="0"/>
        <v>#VALUE!</v>
      </c>
      <c r="AN113" s="64" t="e">
        <f t="shared" ca="1" si="45"/>
        <v>#VALUE!</v>
      </c>
    </row>
    <row r="114" spans="1:40" x14ac:dyDescent="0.2">
      <c r="A114">
        <f t="shared" si="41"/>
        <v>3</v>
      </c>
      <c r="B114">
        <f t="shared" ca="1" si="46"/>
        <v>3</v>
      </c>
      <c r="C114">
        <f t="shared" ca="1" si="47"/>
        <v>3</v>
      </c>
      <c r="D114">
        <f t="shared" ca="1" si="48"/>
        <v>17</v>
      </c>
      <c r="E114" t="e">
        <f ca="1">IF($C114=1,OFFSET(E114,-1,0)+MAX(1,COUNTIF([1]QCI!$A$13:$A$24,OFFSET(ORÇAMENTO!E114,-1,0))),OFFSET(E114,-1,0))</f>
        <v>#VALUE!</v>
      </c>
      <c r="F114">
        <f t="shared" ca="1" si="49"/>
        <v>2</v>
      </c>
      <c r="G114">
        <f t="shared" ca="1" si="50"/>
        <v>8</v>
      </c>
      <c r="H114">
        <f t="shared" ca="1" si="51"/>
        <v>0</v>
      </c>
      <c r="I114">
        <f t="shared" ca="1" si="52"/>
        <v>0</v>
      </c>
      <c r="J114">
        <f t="shared" ca="1" si="59"/>
        <v>31</v>
      </c>
      <c r="K114">
        <f ca="1">IF(OR($C114="S",$C114=0),0,MATCH(OFFSET($D114,0,$C114)+IF($C114&lt;&gt;1,1,COUNTIF([1]QCI!$A$13:$A$24,ORÇAMENTO!E114)),OFFSET($D114,1,$C114,ROW($C$145)-ROW($C114)),0))</f>
        <v>17</v>
      </c>
      <c r="L114" s="42" t="e">
        <f t="shared" ca="1" si="53"/>
        <v>#VALUE!</v>
      </c>
      <c r="M114" s="43" t="s">
        <v>5</v>
      </c>
      <c r="N114" s="44" t="str">
        <f t="shared" ca="1" si="54"/>
        <v>Nível 3</v>
      </c>
      <c r="O114" s="45" t="e">
        <f t="shared" ca="1" si="55"/>
        <v>#VALUE!</v>
      </c>
      <c r="P114" s="46" t="s">
        <v>62</v>
      </c>
      <c r="Q114" s="47"/>
      <c r="R114" s="48" t="s">
        <v>195</v>
      </c>
      <c r="S114" s="49" t="s">
        <v>67</v>
      </c>
      <c r="T114" s="50" t="e">
        <f ca="1">OFFSET([1]CÁLCULO!H$15,ROW($T114)-ROW(T$15),0)</f>
        <v>#VALUE!</v>
      </c>
      <c r="U114" s="51"/>
      <c r="V114" s="52" t="s">
        <v>10</v>
      </c>
      <c r="W114" s="50">
        <f ca="1">IF($C114="S",ROUND(IF(TIPOORCAMENTO="Proposto",ORÇAMENTO.CustoUnitario*(1+$AH114),ORÇAMENTO.PrecoUnitarioLicitado),15-13*$AF$10),0)</f>
        <v>0</v>
      </c>
      <c r="X114" s="53" t="e">
        <f t="shared" ca="1" si="42"/>
        <v>#VALUE!</v>
      </c>
      <c r="Y114" s="54" t="s">
        <v>63</v>
      </c>
      <c r="Z114" t="e">
        <f t="shared" ca="1" si="56"/>
        <v>#VALUE!</v>
      </c>
      <c r="AA114" s="55" t="e">
        <f ca="1">IF($C114="S",IF($Z114="CP",$X114,IF($Z114="RA",(($X114)*[1]QCI!$AA$3),0)),SomaAgrup)</f>
        <v>#VALUE!</v>
      </c>
      <c r="AB114" s="56" t="e">
        <f t="shared" ca="1" si="43"/>
        <v>#VALUE!</v>
      </c>
      <c r="AC114" s="57" t="e">
        <f ca="1">IF($N114="","",IF(ORÇAMENTO.Descricao="","DESCRIÇÃO",IF(AND($C114="S",ORÇAMENTO.Unidade=""),"UNIDADE",IF($X114&lt;0,"VALOR NEGATIVO",IF(OR(AND(TIPOORCAMENTO="Proposto",$AG114&lt;&gt;"",$AG114&gt;0,ORÇAMENTO.CustoUnitario&gt;$AG114),AND(TIPOORCAMENTO="LICITADO",ORÇAMENTO.PrecoUnitarioLicitado&gt;$AN114)),"ACIMA REF.","")))))</f>
        <v>#VALUE!</v>
      </c>
      <c r="AD114" t="e">
        <f ca="1">IF(C114&lt;=CRONO.NivelExibicao,MAX($AD$15:OFFSET(AD114,-1,0))+IF($C114&lt;&gt;1,1,MAX(1,COUNTIF([1]QCI!$A$13:$A$24,OFFSET($E114,-1,0)))),"")</f>
        <v>#VALUE!</v>
      </c>
      <c r="AE114" s="4" t="b">
        <f ca="1">IF(AND($C114="S",ORÇAMENTO.CodBarra&lt;&gt;""),IF(ORÇAMENTO.Fonte="",ORÇAMENTO.CodBarra,CONCATENATE(ORÇAMENTO.Fonte," ",ORÇAMENTO.CodBarra)))</f>
        <v>0</v>
      </c>
      <c r="AF114" s="58" t="e">
        <f ca="1">IF(ISERROR(INDIRECT(ORÇAMENTO.BancoRef)),"(abra o arquivo 'Referência "&amp;Excel_BuiltIn_Database&amp;".xls)",IF(OR($C114&lt;&gt;"S",ORÇAMENTO.CodBarra=""),"(Sem Código)",IF(ISERROR(MATCH($AE114,INDIRECT(ORÇAMENTO.BancoRef),0)),"(Código não identificado nas referências)",MATCH($AE114,INDIRECT(ORÇAMENTO.BancoRef),0))))</f>
        <v>#VALUE!</v>
      </c>
      <c r="AG114" s="59" t="e">
        <f ca="1">ROUND(IF(DESONERACAO="sim",REFERENCIA.Desonerado,REFERENCIA.NaoDesonerado),2)</f>
        <v>#VALUE!</v>
      </c>
      <c r="AH114" s="60">
        <f t="shared" si="44"/>
        <v>0.2223</v>
      </c>
      <c r="AJ114" s="61"/>
      <c r="AL114" s="62"/>
      <c r="AM114" s="63" t="e">
        <f t="shared" ca="1" si="0"/>
        <v>#VALUE!</v>
      </c>
      <c r="AN114" s="64">
        <f t="shared" si="45"/>
        <v>0</v>
      </c>
    </row>
    <row r="115" spans="1:40" ht="38.25" x14ac:dyDescent="0.2">
      <c r="A115" t="str">
        <f t="shared" si="41"/>
        <v>S</v>
      </c>
      <c r="B115">
        <f t="shared" ca="1" si="46"/>
        <v>3</v>
      </c>
      <c r="C115" t="str">
        <f t="shared" ca="1" si="47"/>
        <v>S</v>
      </c>
      <c r="D115">
        <f t="shared" ca="1" si="48"/>
        <v>0</v>
      </c>
      <c r="E115" t="e">
        <f ca="1">IF($C115=1,OFFSET(E115,-1,0)+MAX(1,COUNTIF([1]QCI!$A$13:$A$24,OFFSET(ORÇAMENTO!E115,-1,0))),OFFSET(E115,-1,0))</f>
        <v>#VALUE!</v>
      </c>
      <c r="F115">
        <f t="shared" ca="1" si="49"/>
        <v>2</v>
      </c>
      <c r="G115">
        <f t="shared" ca="1" si="50"/>
        <v>8</v>
      </c>
      <c r="H115">
        <f t="shared" ca="1" si="51"/>
        <v>0</v>
      </c>
      <c r="I115" t="e">
        <f t="shared" ca="1" si="52"/>
        <v>#VALUE!</v>
      </c>
      <c r="J115">
        <f t="shared" ca="1" si="59"/>
        <v>0</v>
      </c>
      <c r="K115">
        <f ca="1">IF(OR($C115="S",$C115=0),0,MATCH(OFFSET($D115,0,$C115)+IF($C115&lt;&gt;1,1,COUNTIF([1]QCI!$A$13:$A$24,ORÇAMENTO!E115)),OFFSET($D115,1,$C115,ROW($C$145)-ROW($C115)),0))</f>
        <v>0</v>
      </c>
      <c r="L115" s="42" t="e">
        <f t="shared" ca="1" si="53"/>
        <v>#VALUE!</v>
      </c>
      <c r="M115" s="43" t="s">
        <v>7</v>
      </c>
      <c r="N115" s="44" t="str">
        <f t="shared" ca="1" si="54"/>
        <v>Serviço</v>
      </c>
      <c r="O115" s="45" t="e">
        <f t="shared" ca="1" si="55"/>
        <v>#VALUE!</v>
      </c>
      <c r="P115" s="46" t="s">
        <v>62</v>
      </c>
      <c r="Q115" s="47">
        <v>102622</v>
      </c>
      <c r="R115" s="48" t="s">
        <v>196</v>
      </c>
      <c r="S115" s="49" t="s">
        <v>85</v>
      </c>
      <c r="T115" s="50" t="e">
        <f ca="1">OFFSET([1]CÁLCULO!H$15,ROW($T115)-ROW(T$15),0)</f>
        <v>#VALUE!</v>
      </c>
      <c r="U115" s="51" t="e">
        <f ca="1">AG115</f>
        <v>#VALUE!</v>
      </c>
      <c r="V115" s="52" t="s">
        <v>10</v>
      </c>
      <c r="W115" s="50" t="e">
        <f ca="1">IF($C115="S",ROUND(IF(TIPOORCAMENTO="Proposto",ORÇAMENTO.CustoUnitario*(1+$AH115),ORÇAMENTO.PrecoUnitarioLicitado),15-13*$AF$10),0)</f>
        <v>#VALUE!</v>
      </c>
      <c r="X115" s="53" t="e">
        <f t="shared" ca="1" si="42"/>
        <v>#VALUE!</v>
      </c>
      <c r="Y115" s="54" t="s">
        <v>63</v>
      </c>
      <c r="Z115" t="e">
        <f t="shared" ca="1" si="56"/>
        <v>#VALUE!</v>
      </c>
      <c r="AA115" s="55" t="e">
        <f ca="1">IF($C115="S",IF($Z115="CP",$X115,IF($Z115="RA",(($X115)*[1]QCI!$AA$3),0)),SomaAgrup)</f>
        <v>#VALUE!</v>
      </c>
      <c r="AB115" s="56" t="e">
        <f t="shared" ca="1" si="43"/>
        <v>#VALUE!</v>
      </c>
      <c r="AC115" s="57" t="e">
        <f ca="1">IF($N115="","",IF(ORÇAMENTO.Descricao="","DESCRIÇÃO",IF(AND($C115="S",ORÇAMENTO.Unidade=""),"UNIDADE",IF($X115&lt;0,"VALOR NEGATIVO",IF(OR(AND(TIPOORCAMENTO="Proposto",$AG115&lt;&gt;"",$AG115&gt;0,ORÇAMENTO.CustoUnitario&gt;$AG115),AND(TIPOORCAMENTO="LICITADO",ORÇAMENTO.PrecoUnitarioLicitado&gt;$AN115)),"ACIMA REF.","")))))</f>
        <v>#VALUE!</v>
      </c>
      <c r="AD115" t="str">
        <f ca="1">IF(C115&lt;=CRONO.NivelExibicao,MAX($AD$15:OFFSET(AD115,-1,0))+IF($C115&lt;&gt;1,1,MAX(1,COUNTIF([1]QCI!$A$13:$A$24,OFFSET($E115,-1,0)))),"")</f>
        <v/>
      </c>
      <c r="AE115" s="4" t="str">
        <f ca="1">IF(AND($C115="S",ORÇAMENTO.CodBarra&lt;&gt;""),IF(ORÇAMENTO.Fonte="",ORÇAMENTO.CodBarra,CONCATENATE(ORÇAMENTO.Fonte," ",ORÇAMENTO.CodBarra)))</f>
        <v>SINAPI 102622</v>
      </c>
      <c r="AF115" s="58" t="e">
        <f ca="1">IF(ISERROR(INDIRECT(ORÇAMENTO.BancoRef)),"(abra o arquivo 'Referência "&amp;Excel_BuiltIn_Database&amp;".xls)",IF(OR($C115&lt;&gt;"S",ORÇAMENTO.CodBarra=""),"(Sem Código)",IF(ISERROR(MATCH($AE115,INDIRECT(ORÇAMENTO.BancoRef),0)),"(Código não identificado nas referências)",MATCH($AE115,INDIRECT(ORÇAMENTO.BancoRef),0))))</f>
        <v>#VALUE!</v>
      </c>
      <c r="AG115" s="59" t="e">
        <f ca="1">ROUND(IF(DESONERACAO="sim",REFERENCIA.Desonerado,REFERENCIA.NaoDesonerado),2)</f>
        <v>#VALUE!</v>
      </c>
      <c r="AH115" s="60">
        <f t="shared" si="44"/>
        <v>0.2223</v>
      </c>
      <c r="AJ115" s="61">
        <v>1</v>
      </c>
      <c r="AL115" s="62"/>
      <c r="AM115" s="63" t="e">
        <f t="shared" ca="1" si="0"/>
        <v>#VALUE!</v>
      </c>
      <c r="AN115" s="64" t="e">
        <f t="shared" ca="1" si="45"/>
        <v>#VALUE!</v>
      </c>
    </row>
    <row r="116" spans="1:40" ht="25.5" x14ac:dyDescent="0.2">
      <c r="A116" t="str">
        <f t="shared" si="41"/>
        <v>S</v>
      </c>
      <c r="B116">
        <f t="shared" ca="1" si="46"/>
        <v>3</v>
      </c>
      <c r="C116" t="str">
        <f t="shared" ca="1" si="47"/>
        <v>S</v>
      </c>
      <c r="D116">
        <f t="shared" ca="1" si="48"/>
        <v>0</v>
      </c>
      <c r="E116" t="e">
        <f ca="1">IF($C116=1,OFFSET(E116,-1,0)+MAX(1,COUNTIF([1]QCI!$A$13:$A$24,OFFSET(ORÇAMENTO!E116,-1,0))),OFFSET(E116,-1,0))</f>
        <v>#VALUE!</v>
      </c>
      <c r="F116">
        <f t="shared" ca="1" si="49"/>
        <v>2</v>
      </c>
      <c r="G116">
        <f t="shared" ca="1" si="50"/>
        <v>8</v>
      </c>
      <c r="H116">
        <f t="shared" ca="1" si="51"/>
        <v>0</v>
      </c>
      <c r="I116" t="e">
        <f t="shared" ca="1" si="52"/>
        <v>#VALUE!</v>
      </c>
      <c r="J116">
        <f t="shared" ca="1" si="59"/>
        <v>0</v>
      </c>
      <c r="K116">
        <f ca="1">IF(OR($C116="S",$C116=0),0,MATCH(OFFSET($D116,0,$C116)+IF($C116&lt;&gt;1,1,COUNTIF([1]QCI!$A$13:$A$24,ORÇAMENTO!E116)),OFFSET($D116,1,$C116,ROW($C$145)-ROW($C116)),0))</f>
        <v>0</v>
      </c>
      <c r="L116" s="42" t="e">
        <f t="shared" ca="1" si="53"/>
        <v>#VALUE!</v>
      </c>
      <c r="M116" s="43" t="s">
        <v>7</v>
      </c>
      <c r="N116" s="44" t="str">
        <f t="shared" ca="1" si="54"/>
        <v>Serviço</v>
      </c>
      <c r="O116" s="45" t="e">
        <f t="shared" ca="1" si="55"/>
        <v>#VALUE!</v>
      </c>
      <c r="P116" s="46" t="s">
        <v>62</v>
      </c>
      <c r="Q116" s="47" t="s">
        <v>197</v>
      </c>
      <c r="R116" s="48" t="s">
        <v>198</v>
      </c>
      <c r="S116" s="49" t="s">
        <v>167</v>
      </c>
      <c r="T116" s="50" t="e">
        <f ca="1">OFFSET([1]CÁLCULO!H$15,ROW($T116)-ROW(T$15),0)</f>
        <v>#VALUE!</v>
      </c>
      <c r="U116" s="51" t="e">
        <f t="shared" ref="U116:U130" ca="1" si="61">AG116</f>
        <v>#VALUE!</v>
      </c>
      <c r="V116" s="52" t="s">
        <v>10</v>
      </c>
      <c r="W116" s="50" t="e">
        <f ca="1">IF($C116="S",ROUND(IF(TIPOORCAMENTO="Proposto",ORÇAMENTO.CustoUnitario*(1+$AH116),ORÇAMENTO.PrecoUnitarioLicitado),15-13*$AF$10),0)</f>
        <v>#VALUE!</v>
      </c>
      <c r="X116" s="53" t="e">
        <f t="shared" ca="1" si="42"/>
        <v>#VALUE!</v>
      </c>
      <c r="Y116" s="54" t="s">
        <v>63</v>
      </c>
      <c r="Z116" t="e">
        <f t="shared" ca="1" si="56"/>
        <v>#VALUE!</v>
      </c>
      <c r="AA116" s="55" t="e">
        <f ca="1">IF($C116="S",IF($Z116="CP",$X116,IF($Z116="RA",(($X116)*[1]QCI!$AA$3),0)),SomaAgrup)</f>
        <v>#VALUE!</v>
      </c>
      <c r="AB116" s="56" t="e">
        <f t="shared" ca="1" si="43"/>
        <v>#VALUE!</v>
      </c>
      <c r="AC116" s="57" t="e">
        <f ca="1">IF($N116="","",IF(ORÇAMENTO.Descricao="","DESCRIÇÃO",IF(AND($C116="S",ORÇAMENTO.Unidade=""),"UNIDADE",IF($X116&lt;0,"VALOR NEGATIVO",IF(OR(AND(TIPOORCAMENTO="Proposto",$AG116&lt;&gt;"",$AG116&gt;0,ORÇAMENTO.CustoUnitario&gt;$AG116),AND(TIPOORCAMENTO="LICITADO",ORÇAMENTO.PrecoUnitarioLicitado&gt;$AN116)),"ACIMA REF.","")))))</f>
        <v>#VALUE!</v>
      </c>
      <c r="AD116" t="str">
        <f ca="1">IF(C116&lt;=CRONO.NivelExibicao,MAX($AD$15:OFFSET(AD116,-1,0))+IF($C116&lt;&gt;1,1,MAX(1,COUNTIF([1]QCI!$A$13:$A$24,OFFSET($E116,-1,0)))),"")</f>
        <v/>
      </c>
      <c r="AE116" s="4" t="str">
        <f ca="1">IF(AND($C116="S",ORÇAMENTO.CodBarra&lt;&gt;""),IF(ORÇAMENTO.Fonte="",ORÇAMENTO.CodBarra,CONCATENATE(ORÇAMENTO.Fonte," ",ORÇAMENTO.CodBarra)))</f>
        <v>SINAPI 89449</v>
      </c>
      <c r="AF116" s="58" t="e">
        <f ca="1">IF(ISERROR(INDIRECT(ORÇAMENTO.BancoRef)),"(abra o arquivo 'Referência "&amp;Excel_BuiltIn_Database&amp;".xls)",IF(OR($C116&lt;&gt;"S",ORÇAMENTO.CodBarra=""),"(Sem Código)",IF(ISERROR(MATCH($AE116,INDIRECT(ORÇAMENTO.BancoRef),0)),"(Código não identificado nas referências)",MATCH($AE116,INDIRECT(ORÇAMENTO.BancoRef),0))))</f>
        <v>#VALUE!</v>
      </c>
      <c r="AG116" s="59" t="e">
        <f ca="1">ROUND(IF(DESONERACAO="sim",REFERENCIA.Desonerado,REFERENCIA.NaoDesonerado),2)</f>
        <v>#VALUE!</v>
      </c>
      <c r="AH116" s="60">
        <f t="shared" si="44"/>
        <v>0.2223</v>
      </c>
      <c r="AJ116" s="61">
        <v>24.09</v>
      </c>
      <c r="AL116" s="62"/>
      <c r="AM116" s="63" t="e">
        <f t="shared" ca="1" si="0"/>
        <v>#VALUE!</v>
      </c>
      <c r="AN116" s="64" t="e">
        <f t="shared" ca="1" si="45"/>
        <v>#VALUE!</v>
      </c>
    </row>
    <row r="117" spans="1:40" ht="25.5" x14ac:dyDescent="0.2">
      <c r="A117" t="str">
        <f t="shared" si="41"/>
        <v>S</v>
      </c>
      <c r="B117">
        <f t="shared" ca="1" si="46"/>
        <v>3</v>
      </c>
      <c r="C117" t="str">
        <f t="shared" ca="1" si="47"/>
        <v>S</v>
      </c>
      <c r="D117">
        <f t="shared" ca="1" si="48"/>
        <v>0</v>
      </c>
      <c r="E117" t="e">
        <f ca="1">IF($C117=1,OFFSET(E117,-1,0)+MAX(1,COUNTIF([1]QCI!$A$13:$A$24,OFFSET(ORÇAMENTO!E117,-1,0))),OFFSET(E117,-1,0))</f>
        <v>#VALUE!</v>
      </c>
      <c r="F117">
        <f t="shared" ca="1" si="49"/>
        <v>2</v>
      </c>
      <c r="G117">
        <f t="shared" ca="1" si="50"/>
        <v>8</v>
      </c>
      <c r="H117">
        <f t="shared" ca="1" si="51"/>
        <v>0</v>
      </c>
      <c r="I117" t="e">
        <f t="shared" ca="1" si="52"/>
        <v>#VALUE!</v>
      </c>
      <c r="J117">
        <f t="shared" ca="1" si="59"/>
        <v>0</v>
      </c>
      <c r="K117">
        <f ca="1">IF(OR($C117="S",$C117=0),0,MATCH(OFFSET($D117,0,$C117)+IF($C117&lt;&gt;1,1,COUNTIF([1]QCI!$A$13:$A$24,ORÇAMENTO!E117)),OFFSET($D117,1,$C117,ROW($C$145)-ROW($C117)),0))</f>
        <v>0</v>
      </c>
      <c r="L117" s="42" t="e">
        <f t="shared" ca="1" si="53"/>
        <v>#VALUE!</v>
      </c>
      <c r="M117" s="43" t="s">
        <v>7</v>
      </c>
      <c r="N117" s="44" t="str">
        <f t="shared" ca="1" si="54"/>
        <v>Serviço</v>
      </c>
      <c r="O117" s="45" t="e">
        <f t="shared" ca="1" si="55"/>
        <v>#VALUE!</v>
      </c>
      <c r="P117" s="46" t="s">
        <v>62</v>
      </c>
      <c r="Q117" s="47">
        <v>89356</v>
      </c>
      <c r="R117" s="48" t="s">
        <v>199</v>
      </c>
      <c r="S117" s="49" t="s">
        <v>167</v>
      </c>
      <c r="T117" s="50" t="e">
        <f ca="1">OFFSET([1]CÁLCULO!H$15,ROW($T117)-ROW(T$15),0)</f>
        <v>#VALUE!</v>
      </c>
      <c r="U117" s="51" t="e">
        <f t="shared" ca="1" si="61"/>
        <v>#VALUE!</v>
      </c>
      <c r="V117" s="52" t="s">
        <v>10</v>
      </c>
      <c r="W117" s="50" t="e">
        <f ca="1">IF($C117="S",ROUND(IF(TIPOORCAMENTO="Proposto",ORÇAMENTO.CustoUnitario*(1+$AH117),ORÇAMENTO.PrecoUnitarioLicitado),15-13*$AF$10),0)</f>
        <v>#VALUE!</v>
      </c>
      <c r="X117" s="53" t="e">
        <f t="shared" ca="1" si="42"/>
        <v>#VALUE!</v>
      </c>
      <c r="Y117" s="54" t="s">
        <v>63</v>
      </c>
      <c r="Z117" t="e">
        <f t="shared" ca="1" si="56"/>
        <v>#VALUE!</v>
      </c>
      <c r="AA117" s="55" t="e">
        <f ca="1">IF($C117="S",IF($Z117="CP",$X117,IF($Z117="RA",(($X117)*[1]QCI!$AA$3),0)),SomaAgrup)</f>
        <v>#VALUE!</v>
      </c>
      <c r="AB117" s="56" t="e">
        <f t="shared" ca="1" si="43"/>
        <v>#VALUE!</v>
      </c>
      <c r="AC117" s="57" t="e">
        <f ca="1">IF($N117="","",IF(ORÇAMENTO.Descricao="","DESCRIÇÃO",IF(AND($C117="S",ORÇAMENTO.Unidade=""),"UNIDADE",IF($X117&lt;0,"VALOR NEGATIVO",IF(OR(AND(TIPOORCAMENTO="Proposto",$AG117&lt;&gt;"",$AG117&gt;0,ORÇAMENTO.CustoUnitario&gt;$AG117),AND(TIPOORCAMENTO="LICITADO",ORÇAMENTO.PrecoUnitarioLicitado&gt;$AN117)),"ACIMA REF.","")))))</f>
        <v>#VALUE!</v>
      </c>
      <c r="AD117" t="str">
        <f ca="1">IF(C117&lt;=CRONO.NivelExibicao,MAX($AD$15:OFFSET(AD117,-1,0))+IF($C117&lt;&gt;1,1,MAX(1,COUNTIF([1]QCI!$A$13:$A$24,OFFSET($E117,-1,0)))),"")</f>
        <v/>
      </c>
      <c r="AE117" s="4" t="str">
        <f ca="1">IF(AND($C117="S",ORÇAMENTO.CodBarra&lt;&gt;""),IF(ORÇAMENTO.Fonte="",ORÇAMENTO.CodBarra,CONCATENATE(ORÇAMENTO.Fonte," ",ORÇAMENTO.CodBarra)))</f>
        <v>SINAPI 89356</v>
      </c>
      <c r="AF117" s="58" t="e">
        <f ca="1">IF(ISERROR(INDIRECT(ORÇAMENTO.BancoRef)),"(abra o arquivo 'Referência "&amp;Excel_BuiltIn_Database&amp;".xls)",IF(OR($C117&lt;&gt;"S",ORÇAMENTO.CodBarra=""),"(Sem Código)",IF(ISERROR(MATCH($AE117,INDIRECT(ORÇAMENTO.BancoRef),0)),"(Código não identificado nas referências)",MATCH($AE117,INDIRECT(ORÇAMENTO.BancoRef),0))))</f>
        <v>#VALUE!</v>
      </c>
      <c r="AG117" s="59" t="e">
        <f ca="1">ROUND(IF(DESONERACAO="sim",REFERENCIA.Desonerado,REFERENCIA.NaoDesonerado),2)</f>
        <v>#VALUE!</v>
      </c>
      <c r="AH117" s="60">
        <f t="shared" si="44"/>
        <v>0.2223</v>
      </c>
      <c r="AJ117" s="61">
        <v>20.38</v>
      </c>
      <c r="AL117" s="62"/>
      <c r="AM117" s="63" t="e">
        <f t="shared" ca="1" si="0"/>
        <v>#VALUE!</v>
      </c>
      <c r="AN117" s="64" t="e">
        <f t="shared" ca="1" si="45"/>
        <v>#VALUE!</v>
      </c>
    </row>
    <row r="118" spans="1:40" ht="38.25" x14ac:dyDescent="0.2">
      <c r="A118" t="str">
        <f t="shared" si="41"/>
        <v>S</v>
      </c>
      <c r="B118">
        <f t="shared" ca="1" si="46"/>
        <v>3</v>
      </c>
      <c r="C118" t="str">
        <f t="shared" ca="1" si="47"/>
        <v>S</v>
      </c>
      <c r="D118">
        <f t="shared" ca="1" si="48"/>
        <v>0</v>
      </c>
      <c r="E118" t="e">
        <f ca="1">IF($C118=1,OFFSET(E118,-1,0)+MAX(1,COUNTIF([1]QCI!$A$13:$A$24,OFFSET(ORÇAMENTO!E118,-1,0))),OFFSET(E118,-1,0))</f>
        <v>#VALUE!</v>
      </c>
      <c r="F118">
        <f t="shared" ca="1" si="49"/>
        <v>2</v>
      </c>
      <c r="G118">
        <f t="shared" ca="1" si="50"/>
        <v>8</v>
      </c>
      <c r="H118">
        <f t="shared" ca="1" si="51"/>
        <v>0</v>
      </c>
      <c r="I118" t="e">
        <f t="shared" ca="1" si="52"/>
        <v>#VALUE!</v>
      </c>
      <c r="J118">
        <f t="shared" ca="1" si="59"/>
        <v>0</v>
      </c>
      <c r="K118">
        <f ca="1">IF(OR($C118="S",$C118=0),0,MATCH(OFFSET($D118,0,$C118)+IF($C118&lt;&gt;1,1,COUNTIF([1]QCI!$A$13:$A$24,ORÇAMENTO!E118)),OFFSET($D118,1,$C118,ROW($C$145)-ROW($C118)),0))</f>
        <v>0</v>
      </c>
      <c r="L118" s="42" t="e">
        <f t="shared" ca="1" si="53"/>
        <v>#VALUE!</v>
      </c>
      <c r="M118" s="43" t="s">
        <v>7</v>
      </c>
      <c r="N118" s="44" t="str">
        <f t="shared" ca="1" si="54"/>
        <v>Serviço</v>
      </c>
      <c r="O118" s="45" t="e">
        <f t="shared" ca="1" si="55"/>
        <v>#VALUE!</v>
      </c>
      <c r="P118" s="46" t="s">
        <v>62</v>
      </c>
      <c r="Q118" s="47">
        <v>90373</v>
      </c>
      <c r="R118" s="48" t="s">
        <v>200</v>
      </c>
      <c r="S118" s="49" t="s">
        <v>85</v>
      </c>
      <c r="T118" s="50" t="e">
        <f ca="1">OFFSET([1]CÁLCULO!H$15,ROW($T118)-ROW(T$15),0)</f>
        <v>#VALUE!</v>
      </c>
      <c r="U118" s="51" t="e">
        <f t="shared" ca="1" si="61"/>
        <v>#VALUE!</v>
      </c>
      <c r="V118" s="52" t="s">
        <v>10</v>
      </c>
      <c r="W118" s="50" t="e">
        <f ca="1">IF($C118="S",ROUND(IF(TIPOORCAMENTO="Proposto",ORÇAMENTO.CustoUnitario*(1+$AH118),ORÇAMENTO.PrecoUnitarioLicitado),15-13*$AF$10),0)</f>
        <v>#VALUE!</v>
      </c>
      <c r="X118" s="53" t="e">
        <f t="shared" ca="1" si="42"/>
        <v>#VALUE!</v>
      </c>
      <c r="Y118" s="54" t="s">
        <v>63</v>
      </c>
      <c r="Z118" t="e">
        <f t="shared" ca="1" si="56"/>
        <v>#VALUE!</v>
      </c>
      <c r="AA118" s="55" t="e">
        <f ca="1">IF($C118="S",IF($Z118="CP",$X118,IF($Z118="RA",(($X118)*[1]QCI!$AA$3),0)),SomaAgrup)</f>
        <v>#VALUE!</v>
      </c>
      <c r="AB118" s="56" t="e">
        <f t="shared" ca="1" si="43"/>
        <v>#VALUE!</v>
      </c>
      <c r="AC118" s="57" t="e">
        <f ca="1">IF($N118="","",IF(ORÇAMENTO.Descricao="","DESCRIÇÃO",IF(AND($C118="S",ORÇAMENTO.Unidade=""),"UNIDADE",IF($X118&lt;0,"VALOR NEGATIVO",IF(OR(AND(TIPOORCAMENTO="Proposto",$AG118&lt;&gt;"",$AG118&gt;0,ORÇAMENTO.CustoUnitario&gt;$AG118),AND(TIPOORCAMENTO="LICITADO",ORÇAMENTO.PrecoUnitarioLicitado&gt;$AN118)),"ACIMA REF.","")))))</f>
        <v>#VALUE!</v>
      </c>
      <c r="AD118" t="str">
        <f ca="1">IF(C118&lt;=CRONO.NivelExibicao,MAX($AD$15:OFFSET(AD118,-1,0))+IF($C118&lt;&gt;1,1,MAX(1,COUNTIF([1]QCI!$A$13:$A$24,OFFSET($E118,-1,0)))),"")</f>
        <v/>
      </c>
      <c r="AE118" s="4" t="str">
        <f ca="1">IF(AND($C118="S",ORÇAMENTO.CodBarra&lt;&gt;""),IF(ORÇAMENTO.Fonte="",ORÇAMENTO.CodBarra,CONCATENATE(ORÇAMENTO.Fonte," ",ORÇAMENTO.CodBarra)))</f>
        <v>SINAPI 90373</v>
      </c>
      <c r="AF118" s="58" t="e">
        <f ca="1">IF(ISERROR(INDIRECT(ORÇAMENTO.BancoRef)),"(abra o arquivo 'Referência "&amp;Excel_BuiltIn_Database&amp;".xls)",IF(OR($C118&lt;&gt;"S",ORÇAMENTO.CodBarra=""),"(Sem Código)",IF(ISERROR(MATCH($AE118,INDIRECT(ORÇAMENTO.BancoRef),0)),"(Código não identificado nas referências)",MATCH($AE118,INDIRECT(ORÇAMENTO.BancoRef),0))))</f>
        <v>#VALUE!</v>
      </c>
      <c r="AG118" s="59" t="e">
        <f ca="1">ROUND(IF(DESONERACAO="sim",REFERENCIA.Desonerado,REFERENCIA.NaoDesonerado),2)</f>
        <v>#VALUE!</v>
      </c>
      <c r="AH118" s="60">
        <f t="shared" si="44"/>
        <v>0.2223</v>
      </c>
      <c r="AJ118" s="61">
        <v>12</v>
      </c>
      <c r="AL118" s="62"/>
      <c r="AM118" s="63" t="e">
        <f t="shared" ca="1" si="0"/>
        <v>#VALUE!</v>
      </c>
      <c r="AN118" s="64" t="e">
        <f t="shared" ca="1" si="45"/>
        <v>#VALUE!</v>
      </c>
    </row>
    <row r="119" spans="1:40" ht="25.5" x14ac:dyDescent="0.2">
      <c r="A119" t="str">
        <f t="shared" si="41"/>
        <v>S</v>
      </c>
      <c r="B119">
        <f t="shared" ca="1" si="46"/>
        <v>3</v>
      </c>
      <c r="C119" t="str">
        <f t="shared" ca="1" si="47"/>
        <v>S</v>
      </c>
      <c r="D119">
        <f t="shared" ca="1" si="48"/>
        <v>0</v>
      </c>
      <c r="E119" t="e">
        <f ca="1">IF($C119=1,OFFSET(E119,-1,0)+MAX(1,COUNTIF([1]QCI!$A$13:$A$24,OFFSET(ORÇAMENTO!E119,-1,0))),OFFSET(E119,-1,0))</f>
        <v>#VALUE!</v>
      </c>
      <c r="F119">
        <f t="shared" ca="1" si="49"/>
        <v>2</v>
      </c>
      <c r="G119">
        <f t="shared" ca="1" si="50"/>
        <v>8</v>
      </c>
      <c r="H119">
        <f t="shared" ca="1" si="51"/>
        <v>0</v>
      </c>
      <c r="I119" t="e">
        <f t="shared" ca="1" si="52"/>
        <v>#VALUE!</v>
      </c>
      <c r="J119">
        <f t="shared" ca="1" si="59"/>
        <v>0</v>
      </c>
      <c r="K119">
        <f ca="1">IF(OR($C119="S",$C119=0),0,MATCH(OFFSET($D119,0,$C119)+IF($C119&lt;&gt;1,1,COUNTIF([1]QCI!$A$13:$A$24,ORÇAMENTO!E119)),OFFSET($D119,1,$C119,ROW($C$145)-ROW($C119)),0))</f>
        <v>0</v>
      </c>
      <c r="L119" s="42" t="e">
        <f t="shared" ca="1" si="53"/>
        <v>#VALUE!</v>
      </c>
      <c r="M119" s="43" t="s">
        <v>7</v>
      </c>
      <c r="N119" s="44" t="str">
        <f t="shared" ca="1" si="54"/>
        <v>Serviço</v>
      </c>
      <c r="O119" s="45" t="e">
        <f t="shared" ca="1" si="55"/>
        <v>#VALUE!</v>
      </c>
      <c r="P119" s="46" t="s">
        <v>62</v>
      </c>
      <c r="Q119" s="47">
        <v>89627</v>
      </c>
      <c r="R119" s="48" t="s">
        <v>201</v>
      </c>
      <c r="S119" s="49" t="s">
        <v>85</v>
      </c>
      <c r="T119" s="50" t="e">
        <f ca="1">OFFSET([1]CÁLCULO!H$15,ROW($T119)-ROW(T$15),0)</f>
        <v>#VALUE!</v>
      </c>
      <c r="U119" s="51" t="e">
        <f t="shared" ca="1" si="61"/>
        <v>#VALUE!</v>
      </c>
      <c r="V119" s="52" t="s">
        <v>10</v>
      </c>
      <c r="W119" s="50" t="e">
        <f ca="1">IF($C119="S",ROUND(IF(TIPOORCAMENTO="Proposto",ORÇAMENTO.CustoUnitario*(1+$AH119),ORÇAMENTO.PrecoUnitarioLicitado),15-13*$AF$10),0)</f>
        <v>#VALUE!</v>
      </c>
      <c r="X119" s="53" t="e">
        <f t="shared" ca="1" si="42"/>
        <v>#VALUE!</v>
      </c>
      <c r="Y119" s="54" t="s">
        <v>63</v>
      </c>
      <c r="Z119" t="e">
        <f t="shared" ca="1" si="56"/>
        <v>#VALUE!</v>
      </c>
      <c r="AA119" s="55" t="e">
        <f ca="1">IF($C119="S",IF($Z119="CP",$X119,IF($Z119="RA",(($X119)*[1]QCI!$AA$3),0)),SomaAgrup)</f>
        <v>#VALUE!</v>
      </c>
      <c r="AB119" s="56" t="e">
        <f t="shared" ca="1" si="43"/>
        <v>#VALUE!</v>
      </c>
      <c r="AC119" s="57" t="e">
        <f ca="1">IF($N119="","",IF(ORÇAMENTO.Descricao="","DESCRIÇÃO",IF(AND($C119="S",ORÇAMENTO.Unidade=""),"UNIDADE",IF($X119&lt;0,"VALOR NEGATIVO",IF(OR(AND(TIPOORCAMENTO="Proposto",$AG119&lt;&gt;"",$AG119&gt;0,ORÇAMENTO.CustoUnitario&gt;$AG119),AND(TIPOORCAMENTO="LICITADO",ORÇAMENTO.PrecoUnitarioLicitado&gt;$AN119)),"ACIMA REF.","")))))</f>
        <v>#VALUE!</v>
      </c>
      <c r="AD119" t="str">
        <f ca="1">IF(C119&lt;=CRONO.NivelExibicao,MAX($AD$15:OFFSET(AD119,-1,0))+IF($C119&lt;&gt;1,1,MAX(1,COUNTIF([1]QCI!$A$13:$A$24,OFFSET($E119,-1,0)))),"")</f>
        <v/>
      </c>
      <c r="AE119" s="4" t="str">
        <f ca="1">IF(AND($C119="S",ORÇAMENTO.CodBarra&lt;&gt;""),IF(ORÇAMENTO.Fonte="",ORÇAMENTO.CodBarra,CONCATENATE(ORÇAMENTO.Fonte," ",ORÇAMENTO.CodBarra)))</f>
        <v>SINAPI 89627</v>
      </c>
      <c r="AF119" s="58" t="e">
        <f ca="1">IF(ISERROR(INDIRECT(ORÇAMENTO.BancoRef)),"(abra o arquivo 'Referência "&amp;Excel_BuiltIn_Database&amp;".xls)",IF(OR($C119&lt;&gt;"S",ORÇAMENTO.CodBarra=""),"(Sem Código)",IF(ISERROR(MATCH($AE119,INDIRECT(ORÇAMENTO.BancoRef),0)),"(Código não identificado nas referências)",MATCH($AE119,INDIRECT(ORÇAMENTO.BancoRef),0))))</f>
        <v>#VALUE!</v>
      </c>
      <c r="AG119" s="59" t="e">
        <f ca="1">ROUND(IF(DESONERACAO="sim",REFERENCIA.Desonerado,REFERENCIA.NaoDesonerado),2)</f>
        <v>#VALUE!</v>
      </c>
      <c r="AH119" s="60">
        <f t="shared" si="44"/>
        <v>0.2223</v>
      </c>
      <c r="AJ119" s="61">
        <v>10</v>
      </c>
      <c r="AL119" s="62"/>
      <c r="AM119" s="63" t="e">
        <f t="shared" ca="1" si="0"/>
        <v>#VALUE!</v>
      </c>
      <c r="AN119" s="64" t="e">
        <f t="shared" ca="1" si="45"/>
        <v>#VALUE!</v>
      </c>
    </row>
    <row r="120" spans="1:40" ht="25.5" x14ac:dyDescent="0.2">
      <c r="A120" t="str">
        <f t="shared" si="41"/>
        <v>S</v>
      </c>
      <c r="B120">
        <f t="shared" ca="1" si="46"/>
        <v>3</v>
      </c>
      <c r="C120" t="str">
        <f t="shared" ca="1" si="47"/>
        <v>S</v>
      </c>
      <c r="D120">
        <f t="shared" ca="1" si="48"/>
        <v>0</v>
      </c>
      <c r="E120" t="e">
        <f ca="1">IF($C120=1,OFFSET(E120,-1,0)+MAX(1,COUNTIF([1]QCI!$A$13:$A$24,OFFSET(ORÇAMENTO!E120,-1,0))),OFFSET(E120,-1,0))</f>
        <v>#VALUE!</v>
      </c>
      <c r="F120">
        <f t="shared" ca="1" si="49"/>
        <v>2</v>
      </c>
      <c r="G120">
        <f t="shared" ca="1" si="50"/>
        <v>8</v>
      </c>
      <c r="H120">
        <f t="shared" ca="1" si="51"/>
        <v>0</v>
      </c>
      <c r="I120" t="e">
        <f t="shared" ca="1" si="52"/>
        <v>#VALUE!</v>
      </c>
      <c r="J120">
        <f t="shared" ca="1" si="59"/>
        <v>0</v>
      </c>
      <c r="K120">
        <f ca="1">IF(OR($C120="S",$C120=0),0,MATCH(OFFSET($D120,0,$C120)+IF($C120&lt;&gt;1,1,COUNTIF([1]QCI!$A$13:$A$24,ORÇAMENTO!E120)),OFFSET($D120,1,$C120,ROW($C$145)-ROW($C120)),0))</f>
        <v>0</v>
      </c>
      <c r="L120" s="42" t="e">
        <f t="shared" ca="1" si="53"/>
        <v>#VALUE!</v>
      </c>
      <c r="M120" s="43" t="s">
        <v>7</v>
      </c>
      <c r="N120" s="44" t="str">
        <f t="shared" ca="1" si="54"/>
        <v>Serviço</v>
      </c>
      <c r="O120" s="45" t="e">
        <f t="shared" ca="1" si="55"/>
        <v>#VALUE!</v>
      </c>
      <c r="P120" s="46" t="s">
        <v>62</v>
      </c>
      <c r="Q120" s="47">
        <v>89625</v>
      </c>
      <c r="R120" s="48" t="s">
        <v>202</v>
      </c>
      <c r="S120" s="49" t="s">
        <v>85</v>
      </c>
      <c r="T120" s="50" t="e">
        <f ca="1">OFFSET([1]CÁLCULO!H$15,ROW($T120)-ROW(T$15),0)</f>
        <v>#VALUE!</v>
      </c>
      <c r="U120" s="51" t="e">
        <f t="shared" ca="1" si="61"/>
        <v>#VALUE!</v>
      </c>
      <c r="V120" s="52" t="s">
        <v>10</v>
      </c>
      <c r="W120" s="50" t="e">
        <f ca="1">IF($C120="S",ROUND(IF(TIPOORCAMENTO="Proposto",ORÇAMENTO.CustoUnitario*(1+$AH120),ORÇAMENTO.PrecoUnitarioLicitado),15-13*$AF$10),0)</f>
        <v>#VALUE!</v>
      </c>
      <c r="X120" s="53" t="e">
        <f t="shared" ca="1" si="42"/>
        <v>#VALUE!</v>
      </c>
      <c r="Y120" s="54" t="s">
        <v>63</v>
      </c>
      <c r="Z120" t="e">
        <f t="shared" ca="1" si="56"/>
        <v>#VALUE!</v>
      </c>
      <c r="AA120" s="55" t="e">
        <f ca="1">IF($C120="S",IF($Z120="CP",$X120,IF($Z120="RA",(($X120)*[1]QCI!$AA$3),0)),SomaAgrup)</f>
        <v>#VALUE!</v>
      </c>
      <c r="AB120" s="56" t="e">
        <f t="shared" ca="1" si="43"/>
        <v>#VALUE!</v>
      </c>
      <c r="AC120" s="57" t="e">
        <f ca="1">IF($N120="","",IF(ORÇAMENTO.Descricao="","DESCRIÇÃO",IF(AND($C120="S",ORÇAMENTO.Unidade=""),"UNIDADE",IF($X120&lt;0,"VALOR NEGATIVO",IF(OR(AND(TIPOORCAMENTO="Proposto",$AG120&lt;&gt;"",$AG120&gt;0,ORÇAMENTO.CustoUnitario&gt;$AG120),AND(TIPOORCAMENTO="LICITADO",ORÇAMENTO.PrecoUnitarioLicitado&gt;$AN120)),"ACIMA REF.","")))))</f>
        <v>#VALUE!</v>
      </c>
      <c r="AD120" t="str">
        <f ca="1">IF(C120&lt;=CRONO.NivelExibicao,MAX($AD$15:OFFSET(AD120,-1,0))+IF($C120&lt;&gt;1,1,MAX(1,COUNTIF([1]QCI!$A$13:$A$24,OFFSET($E120,-1,0)))),"")</f>
        <v/>
      </c>
      <c r="AE120" s="4" t="str">
        <f ca="1">IF(AND($C120="S",ORÇAMENTO.CodBarra&lt;&gt;""),IF(ORÇAMENTO.Fonte="",ORÇAMENTO.CodBarra,CONCATENATE(ORÇAMENTO.Fonte," ",ORÇAMENTO.CodBarra)))</f>
        <v>SINAPI 89625</v>
      </c>
      <c r="AF120" s="58" t="e">
        <f ca="1">IF(ISERROR(INDIRECT(ORÇAMENTO.BancoRef)),"(abra o arquivo 'Referência "&amp;Excel_BuiltIn_Database&amp;".xls)",IF(OR($C120&lt;&gt;"S",ORÇAMENTO.CodBarra=""),"(Sem Código)",IF(ISERROR(MATCH($AE120,INDIRECT(ORÇAMENTO.BancoRef),0)),"(Código não identificado nas referências)",MATCH($AE120,INDIRECT(ORÇAMENTO.BancoRef),0))))</f>
        <v>#VALUE!</v>
      </c>
      <c r="AG120" s="59" t="e">
        <f ca="1">ROUND(IF(DESONERACAO="sim",REFERENCIA.Desonerado,REFERENCIA.NaoDesonerado),2)</f>
        <v>#VALUE!</v>
      </c>
      <c r="AH120" s="60">
        <f t="shared" si="44"/>
        <v>0.2223</v>
      </c>
      <c r="AJ120" s="61">
        <v>10</v>
      </c>
      <c r="AL120" s="62"/>
      <c r="AM120" s="63" t="e">
        <f t="shared" ca="1" si="0"/>
        <v>#VALUE!</v>
      </c>
      <c r="AN120" s="64" t="e">
        <f t="shared" ca="1" si="45"/>
        <v>#VALUE!</v>
      </c>
    </row>
    <row r="121" spans="1:40" ht="25.5" x14ac:dyDescent="0.2">
      <c r="A121" t="str">
        <f t="shared" si="41"/>
        <v>S</v>
      </c>
      <c r="B121">
        <f t="shared" ca="1" si="46"/>
        <v>3</v>
      </c>
      <c r="C121" t="str">
        <f t="shared" ca="1" si="47"/>
        <v>S</v>
      </c>
      <c r="D121">
        <f t="shared" ca="1" si="48"/>
        <v>0</v>
      </c>
      <c r="E121" t="e">
        <f ca="1">IF($C121=1,OFFSET(E121,-1,0)+MAX(1,COUNTIF([1]QCI!$A$13:$A$24,OFFSET(ORÇAMENTO!E121,-1,0))),OFFSET(E121,-1,0))</f>
        <v>#VALUE!</v>
      </c>
      <c r="F121">
        <f t="shared" ca="1" si="49"/>
        <v>2</v>
      </c>
      <c r="G121">
        <f t="shared" ca="1" si="50"/>
        <v>8</v>
      </c>
      <c r="H121">
        <f t="shared" ca="1" si="51"/>
        <v>0</v>
      </c>
      <c r="I121" t="e">
        <f t="shared" ca="1" si="52"/>
        <v>#VALUE!</v>
      </c>
      <c r="J121">
        <f t="shared" ca="1" si="59"/>
        <v>0</v>
      </c>
      <c r="K121">
        <f ca="1">IF(OR($C121="S",$C121=0),0,MATCH(OFFSET($D121,0,$C121)+IF($C121&lt;&gt;1,1,COUNTIF([1]QCI!$A$13:$A$24,ORÇAMENTO!E121)),OFFSET($D121,1,$C121,ROW($C$145)-ROW($C121)),0))</f>
        <v>0</v>
      </c>
      <c r="L121" s="42" t="e">
        <f t="shared" ca="1" si="53"/>
        <v>#VALUE!</v>
      </c>
      <c r="M121" s="43" t="s">
        <v>7</v>
      </c>
      <c r="N121" s="44" t="str">
        <f t="shared" ca="1" si="54"/>
        <v>Serviço</v>
      </c>
      <c r="O121" s="45" t="e">
        <f t="shared" ca="1" si="55"/>
        <v>#VALUE!</v>
      </c>
      <c r="P121" s="46" t="s">
        <v>62</v>
      </c>
      <c r="Q121" s="47">
        <v>89617</v>
      </c>
      <c r="R121" s="48" t="s">
        <v>203</v>
      </c>
      <c r="S121" s="49" t="s">
        <v>85</v>
      </c>
      <c r="T121" s="50" t="e">
        <f ca="1">OFFSET([1]CÁLCULO!H$15,ROW($T121)-ROW(T$15),0)</f>
        <v>#VALUE!</v>
      </c>
      <c r="U121" s="51" t="e">
        <f t="shared" ca="1" si="61"/>
        <v>#VALUE!</v>
      </c>
      <c r="V121" s="52" t="s">
        <v>10</v>
      </c>
      <c r="W121" s="50" t="e">
        <f ca="1">IF($C121="S",ROUND(IF(TIPOORCAMENTO="Proposto",ORÇAMENTO.CustoUnitario*(1+$AH121),ORÇAMENTO.PrecoUnitarioLicitado),15-13*$AF$10),0)</f>
        <v>#VALUE!</v>
      </c>
      <c r="X121" s="53" t="e">
        <f t="shared" ca="1" si="42"/>
        <v>#VALUE!</v>
      </c>
      <c r="Y121" s="54" t="s">
        <v>63</v>
      </c>
      <c r="Z121" t="e">
        <f t="shared" ca="1" si="56"/>
        <v>#VALUE!</v>
      </c>
      <c r="AA121" s="55" t="e">
        <f ca="1">IF($C121="S",IF($Z121="CP",$X121,IF($Z121="RA",(($X121)*[1]QCI!$AA$3),0)),SomaAgrup)</f>
        <v>#VALUE!</v>
      </c>
      <c r="AB121" s="56" t="e">
        <f t="shared" ca="1" si="43"/>
        <v>#VALUE!</v>
      </c>
      <c r="AC121" s="57" t="e">
        <f ca="1">IF($N121="","",IF(ORÇAMENTO.Descricao="","DESCRIÇÃO",IF(AND($C121="S",ORÇAMENTO.Unidade=""),"UNIDADE",IF($X121&lt;0,"VALOR NEGATIVO",IF(OR(AND(TIPOORCAMENTO="Proposto",$AG121&lt;&gt;"",$AG121&gt;0,ORÇAMENTO.CustoUnitario&gt;$AG121),AND(TIPOORCAMENTO="LICITADO",ORÇAMENTO.PrecoUnitarioLicitado&gt;$AN121)),"ACIMA REF.","")))))</f>
        <v>#VALUE!</v>
      </c>
      <c r="AD121" t="str">
        <f ca="1">IF(C121&lt;=CRONO.NivelExibicao,MAX($AD$15:OFFSET(AD121,-1,0))+IF($C121&lt;&gt;1,1,MAX(1,COUNTIF([1]QCI!$A$13:$A$24,OFFSET($E121,-1,0)))),"")</f>
        <v/>
      </c>
      <c r="AE121" s="4" t="str">
        <f ca="1">IF(AND($C121="S",ORÇAMENTO.CodBarra&lt;&gt;""),IF(ORÇAMENTO.Fonte="",ORÇAMENTO.CodBarra,CONCATENATE(ORÇAMENTO.Fonte," ",ORÇAMENTO.CodBarra)))</f>
        <v>SINAPI 89617</v>
      </c>
      <c r="AF121" s="58" t="e">
        <f ca="1">IF(ISERROR(INDIRECT(ORÇAMENTO.BancoRef)),"(abra o arquivo 'Referência "&amp;Excel_BuiltIn_Database&amp;".xls)",IF(OR($C121&lt;&gt;"S",ORÇAMENTO.CodBarra=""),"(Sem Código)",IF(ISERROR(MATCH($AE121,INDIRECT(ORÇAMENTO.BancoRef),0)),"(Código não identificado nas referências)",MATCH($AE121,INDIRECT(ORÇAMENTO.BancoRef),0))))</f>
        <v>#VALUE!</v>
      </c>
      <c r="AG121" s="59" t="e">
        <f ca="1">ROUND(IF(DESONERACAO="sim",REFERENCIA.Desonerado,REFERENCIA.NaoDesonerado),2)</f>
        <v>#VALUE!</v>
      </c>
      <c r="AH121" s="60">
        <f t="shared" si="44"/>
        <v>0.2223</v>
      </c>
      <c r="AJ121" s="61">
        <v>14</v>
      </c>
      <c r="AL121" s="62"/>
      <c r="AM121" s="63" t="e">
        <f t="shared" ca="1" si="0"/>
        <v>#VALUE!</v>
      </c>
      <c r="AN121" s="64" t="e">
        <f t="shared" ca="1" si="45"/>
        <v>#VALUE!</v>
      </c>
    </row>
    <row r="122" spans="1:40" ht="38.25" x14ac:dyDescent="0.2">
      <c r="A122" t="str">
        <f t="shared" si="41"/>
        <v>S</v>
      </c>
      <c r="B122">
        <f t="shared" ca="1" si="46"/>
        <v>3</v>
      </c>
      <c r="C122" t="str">
        <f t="shared" ca="1" si="47"/>
        <v>S</v>
      </c>
      <c r="D122">
        <f t="shared" ca="1" si="48"/>
        <v>0</v>
      </c>
      <c r="E122" t="e">
        <f ca="1">IF($C122=1,OFFSET(E122,-1,0)+MAX(1,COUNTIF([1]QCI!$A$13:$A$24,OFFSET(ORÇAMENTO!E122,-1,0))),OFFSET(E122,-1,0))</f>
        <v>#VALUE!</v>
      </c>
      <c r="F122">
        <f t="shared" ca="1" si="49"/>
        <v>2</v>
      </c>
      <c r="G122">
        <f t="shared" ca="1" si="50"/>
        <v>8</v>
      </c>
      <c r="H122">
        <f t="shared" ca="1" si="51"/>
        <v>0</v>
      </c>
      <c r="I122" t="e">
        <f t="shared" ca="1" si="52"/>
        <v>#VALUE!</v>
      </c>
      <c r="J122">
        <f t="shared" ca="1" si="59"/>
        <v>0</v>
      </c>
      <c r="K122">
        <f ca="1">IF(OR($C122="S",$C122=0),0,MATCH(OFFSET($D122,0,$C122)+IF($C122&lt;&gt;1,1,COUNTIF([1]QCI!$A$13:$A$24,ORÇAMENTO!E122)),OFFSET($D122,1,$C122,ROW($C$145)-ROW($C122)),0))</f>
        <v>0</v>
      </c>
      <c r="L122" s="42" t="e">
        <f t="shared" ca="1" si="53"/>
        <v>#VALUE!</v>
      </c>
      <c r="M122" s="43" t="s">
        <v>7</v>
      </c>
      <c r="N122" s="44" t="str">
        <f t="shared" ca="1" si="54"/>
        <v>Serviço</v>
      </c>
      <c r="O122" s="45" t="e">
        <f t="shared" ca="1" si="55"/>
        <v>#VALUE!</v>
      </c>
      <c r="P122" s="46" t="s">
        <v>62</v>
      </c>
      <c r="Q122" s="47">
        <v>89362</v>
      </c>
      <c r="R122" s="48" t="s">
        <v>204</v>
      </c>
      <c r="S122" s="49" t="s">
        <v>85</v>
      </c>
      <c r="T122" s="50" t="e">
        <f ca="1">OFFSET([1]CÁLCULO!H$15,ROW($T122)-ROW(T$15),0)</f>
        <v>#VALUE!</v>
      </c>
      <c r="U122" s="51" t="e">
        <f t="shared" ca="1" si="61"/>
        <v>#VALUE!</v>
      </c>
      <c r="V122" s="52" t="s">
        <v>10</v>
      </c>
      <c r="W122" s="50" t="e">
        <f ca="1">IF($C122="S",ROUND(IF(TIPOORCAMENTO="Proposto",ORÇAMENTO.CustoUnitario*(1+$AH122),ORÇAMENTO.PrecoUnitarioLicitado),15-13*$AF$10),0)</f>
        <v>#VALUE!</v>
      </c>
      <c r="X122" s="53" t="e">
        <f t="shared" ca="1" si="42"/>
        <v>#VALUE!</v>
      </c>
      <c r="Y122" s="54" t="s">
        <v>63</v>
      </c>
      <c r="Z122" t="e">
        <f t="shared" ca="1" si="56"/>
        <v>#VALUE!</v>
      </c>
      <c r="AA122" s="55" t="e">
        <f ca="1">IF($C122="S",IF($Z122="CP",$X122,IF($Z122="RA",(($X122)*[1]QCI!$AA$3),0)),SomaAgrup)</f>
        <v>#VALUE!</v>
      </c>
      <c r="AB122" s="56" t="e">
        <f t="shared" ca="1" si="43"/>
        <v>#VALUE!</v>
      </c>
      <c r="AC122" s="57" t="e">
        <f ca="1">IF($N122="","",IF(ORÇAMENTO.Descricao="","DESCRIÇÃO",IF(AND($C122="S",ORÇAMENTO.Unidade=""),"UNIDADE",IF($X122&lt;0,"VALOR NEGATIVO",IF(OR(AND(TIPOORCAMENTO="Proposto",$AG122&lt;&gt;"",$AG122&gt;0,ORÇAMENTO.CustoUnitario&gt;$AG122),AND(TIPOORCAMENTO="LICITADO",ORÇAMENTO.PrecoUnitarioLicitado&gt;$AN122)),"ACIMA REF.","")))))</f>
        <v>#VALUE!</v>
      </c>
      <c r="AD122" t="str">
        <f ca="1">IF(C122&lt;=CRONO.NivelExibicao,MAX($AD$15:OFFSET(AD122,-1,0))+IF($C122&lt;&gt;1,1,MAX(1,COUNTIF([1]QCI!$A$13:$A$24,OFFSET($E122,-1,0)))),"")</f>
        <v/>
      </c>
      <c r="AE122" s="4" t="str">
        <f ca="1">IF(AND($C122="S",ORÇAMENTO.CodBarra&lt;&gt;""),IF(ORÇAMENTO.Fonte="",ORÇAMENTO.CodBarra,CONCATENATE(ORÇAMENTO.Fonte," ",ORÇAMENTO.CodBarra)))</f>
        <v>SINAPI 89362</v>
      </c>
      <c r="AF122" s="58" t="e">
        <f ca="1">IF(ISERROR(INDIRECT(ORÇAMENTO.BancoRef)),"(abra o arquivo 'Referência "&amp;Excel_BuiltIn_Database&amp;".xls)",IF(OR($C122&lt;&gt;"S",ORÇAMENTO.CodBarra=""),"(Sem Código)",IF(ISERROR(MATCH($AE122,INDIRECT(ORÇAMENTO.BancoRef),0)),"(Código não identificado nas referências)",MATCH($AE122,INDIRECT(ORÇAMENTO.BancoRef),0))))</f>
        <v>#VALUE!</v>
      </c>
      <c r="AG122" s="59" t="e">
        <f ca="1">ROUND(IF(DESONERACAO="sim",REFERENCIA.Desonerado,REFERENCIA.NaoDesonerado),2)</f>
        <v>#VALUE!</v>
      </c>
      <c r="AH122" s="60">
        <f t="shared" si="44"/>
        <v>0.2223</v>
      </c>
      <c r="AJ122" s="61">
        <v>5</v>
      </c>
      <c r="AL122" s="62"/>
      <c r="AM122" s="63" t="e">
        <f t="shared" ca="1" si="0"/>
        <v>#VALUE!</v>
      </c>
      <c r="AN122" s="64" t="e">
        <f t="shared" ca="1" si="45"/>
        <v>#VALUE!</v>
      </c>
    </row>
    <row r="123" spans="1:40" ht="38.25" x14ac:dyDescent="0.2">
      <c r="A123" t="str">
        <f t="shared" si="41"/>
        <v>S</v>
      </c>
      <c r="B123">
        <f t="shared" ca="1" si="46"/>
        <v>3</v>
      </c>
      <c r="C123" t="str">
        <f t="shared" ca="1" si="47"/>
        <v>S</v>
      </c>
      <c r="D123">
        <f t="shared" ca="1" si="48"/>
        <v>0</v>
      </c>
      <c r="E123" t="e">
        <f ca="1">IF($C123=1,OFFSET(E123,-1,0)+MAX(1,COUNTIF([1]QCI!$A$13:$A$24,OFFSET(ORÇAMENTO!E123,-1,0))),OFFSET(E123,-1,0))</f>
        <v>#VALUE!</v>
      </c>
      <c r="F123">
        <f t="shared" ca="1" si="49"/>
        <v>2</v>
      </c>
      <c r="G123">
        <f t="shared" ca="1" si="50"/>
        <v>8</v>
      </c>
      <c r="H123">
        <f t="shared" ca="1" si="51"/>
        <v>0</v>
      </c>
      <c r="I123" t="e">
        <f t="shared" ca="1" si="52"/>
        <v>#VALUE!</v>
      </c>
      <c r="J123">
        <f t="shared" ca="1" si="59"/>
        <v>0</v>
      </c>
      <c r="K123">
        <f ca="1">IF(OR($C123="S",$C123=0),0,MATCH(OFFSET($D123,0,$C123)+IF($C123&lt;&gt;1,1,COUNTIF([1]QCI!$A$13:$A$24,ORÇAMENTO!E123)),OFFSET($D123,1,$C123,ROW($C$145)-ROW($C123)),0))</f>
        <v>0</v>
      </c>
      <c r="L123" s="42" t="e">
        <f t="shared" ca="1" si="53"/>
        <v>#VALUE!</v>
      </c>
      <c r="M123" s="43" t="s">
        <v>7</v>
      </c>
      <c r="N123" s="44" t="str">
        <f t="shared" ca="1" si="54"/>
        <v>Serviço</v>
      </c>
      <c r="O123" s="45" t="e">
        <f t="shared" ca="1" si="55"/>
        <v>#VALUE!</v>
      </c>
      <c r="P123" s="46" t="s">
        <v>62</v>
      </c>
      <c r="Q123" s="47">
        <v>89425</v>
      </c>
      <c r="R123" s="48" t="s">
        <v>205</v>
      </c>
      <c r="S123" s="49" t="s">
        <v>85</v>
      </c>
      <c r="T123" s="50" t="e">
        <f ca="1">OFFSET([1]CÁLCULO!H$15,ROW($T123)-ROW(T$15),0)</f>
        <v>#VALUE!</v>
      </c>
      <c r="U123" s="51" t="e">
        <f t="shared" ca="1" si="61"/>
        <v>#VALUE!</v>
      </c>
      <c r="V123" s="52" t="s">
        <v>10</v>
      </c>
      <c r="W123" s="50" t="e">
        <f ca="1">IF($C123="S",ROUND(IF(TIPOORCAMENTO="Proposto",ORÇAMENTO.CustoUnitario*(1+$AH123),ORÇAMENTO.PrecoUnitarioLicitado),15-13*$AF$10),0)</f>
        <v>#VALUE!</v>
      </c>
      <c r="X123" s="53" t="e">
        <f t="shared" ca="1" si="42"/>
        <v>#VALUE!</v>
      </c>
      <c r="Y123" s="54" t="s">
        <v>63</v>
      </c>
      <c r="Z123" t="e">
        <f t="shared" ca="1" si="56"/>
        <v>#VALUE!</v>
      </c>
      <c r="AA123" s="55" t="e">
        <f ca="1">IF($C123="S",IF($Z123="CP",$X123,IF($Z123="RA",(($X123)*[1]QCI!$AA$3),0)),SomaAgrup)</f>
        <v>#VALUE!</v>
      </c>
      <c r="AB123" s="56" t="e">
        <f t="shared" ca="1" si="43"/>
        <v>#VALUE!</v>
      </c>
      <c r="AC123" s="57" t="e">
        <f ca="1">IF($N123="","",IF(ORÇAMENTO.Descricao="","DESCRIÇÃO",IF(AND($C123="S",ORÇAMENTO.Unidade=""),"UNIDADE",IF($X123&lt;0,"VALOR NEGATIVO",IF(OR(AND(TIPOORCAMENTO="Proposto",$AG123&lt;&gt;"",$AG123&gt;0,ORÇAMENTO.CustoUnitario&gt;$AG123),AND(TIPOORCAMENTO="LICITADO",ORÇAMENTO.PrecoUnitarioLicitado&gt;$AN123)),"ACIMA REF.","")))))</f>
        <v>#VALUE!</v>
      </c>
      <c r="AD123" t="str">
        <f ca="1">IF(C123&lt;=CRONO.NivelExibicao,MAX($AD$15:OFFSET(AD123,-1,0))+IF($C123&lt;&gt;1,1,MAX(1,COUNTIF([1]QCI!$A$13:$A$24,OFFSET($E123,-1,0)))),"")</f>
        <v/>
      </c>
      <c r="AE123" s="4" t="str">
        <f ca="1">IF(AND($C123="S",ORÇAMENTO.CodBarra&lt;&gt;""),IF(ORÇAMENTO.Fonte="",ORÇAMENTO.CodBarra,CONCATENATE(ORÇAMENTO.Fonte," ",ORÇAMENTO.CodBarra)))</f>
        <v>SINAPI 89425</v>
      </c>
      <c r="AF123" s="58" t="e">
        <f ca="1">IF(ISERROR(INDIRECT(ORÇAMENTO.BancoRef)),"(abra o arquivo 'Referência "&amp;Excel_BuiltIn_Database&amp;".xls)",IF(OR($C123&lt;&gt;"S",ORÇAMENTO.CodBarra=""),"(Sem Código)",IF(ISERROR(MATCH($AE123,INDIRECT(ORÇAMENTO.BancoRef),0)),"(Código não identificado nas referências)",MATCH($AE123,INDIRECT(ORÇAMENTO.BancoRef),0))))</f>
        <v>#VALUE!</v>
      </c>
      <c r="AG123" s="59" t="e">
        <f ca="1">ROUND(IF(DESONERACAO="sim",REFERENCIA.Desonerado,REFERENCIA.NaoDesonerado),2)</f>
        <v>#VALUE!</v>
      </c>
      <c r="AH123" s="60">
        <f t="shared" si="44"/>
        <v>0.2223</v>
      </c>
      <c r="AJ123" s="61">
        <v>10</v>
      </c>
      <c r="AL123" s="62"/>
      <c r="AM123" s="63" t="e">
        <f t="shared" ca="1" si="0"/>
        <v>#VALUE!</v>
      </c>
      <c r="AN123" s="64" t="e">
        <f t="shared" ca="1" si="45"/>
        <v>#VALUE!</v>
      </c>
    </row>
    <row r="124" spans="1:40" ht="25.5" x14ac:dyDescent="0.2">
      <c r="A124" t="str">
        <f t="shared" si="41"/>
        <v>S</v>
      </c>
      <c r="B124">
        <f t="shared" ca="1" si="46"/>
        <v>3</v>
      </c>
      <c r="C124" t="str">
        <f t="shared" ca="1" si="47"/>
        <v>S</v>
      </c>
      <c r="D124">
        <f t="shared" ca="1" si="48"/>
        <v>0</v>
      </c>
      <c r="E124" t="e">
        <f ca="1">IF($C124=1,OFFSET(E124,-1,0)+MAX(1,COUNTIF([1]QCI!$A$13:$A$24,OFFSET(ORÇAMENTO!E124,-1,0))),OFFSET(E124,-1,0))</f>
        <v>#VALUE!</v>
      </c>
      <c r="F124">
        <f t="shared" ca="1" si="49"/>
        <v>2</v>
      </c>
      <c r="G124">
        <f t="shared" ca="1" si="50"/>
        <v>8</v>
      </c>
      <c r="H124">
        <f t="shared" ca="1" si="51"/>
        <v>0</v>
      </c>
      <c r="I124" t="e">
        <f t="shared" ca="1" si="52"/>
        <v>#VALUE!</v>
      </c>
      <c r="J124">
        <f t="shared" ca="1" si="59"/>
        <v>0</v>
      </c>
      <c r="K124">
        <f ca="1">IF(OR($C124="S",$C124=0),0,MATCH(OFFSET($D124,0,$C124)+IF($C124&lt;&gt;1,1,COUNTIF([1]QCI!$A$13:$A$24,ORÇAMENTO!E124)),OFFSET($D124,1,$C124,ROW($C$145)-ROW($C124)),0))</f>
        <v>0</v>
      </c>
      <c r="L124" s="42" t="e">
        <f t="shared" ca="1" si="53"/>
        <v>#VALUE!</v>
      </c>
      <c r="M124" s="43" t="s">
        <v>7</v>
      </c>
      <c r="N124" s="44" t="str">
        <f t="shared" ca="1" si="54"/>
        <v>Serviço</v>
      </c>
      <c r="O124" s="45" t="e">
        <f t="shared" ca="1" si="55"/>
        <v>#VALUE!</v>
      </c>
      <c r="P124" s="46" t="s">
        <v>62</v>
      </c>
      <c r="Q124" s="47">
        <v>89353</v>
      </c>
      <c r="R124" s="48" t="s">
        <v>206</v>
      </c>
      <c r="S124" s="49" t="s">
        <v>85</v>
      </c>
      <c r="T124" s="50" t="e">
        <f ca="1">OFFSET([1]CÁLCULO!H$15,ROW($T124)-ROW(T$15),0)</f>
        <v>#VALUE!</v>
      </c>
      <c r="U124" s="51" t="e">
        <f t="shared" ca="1" si="61"/>
        <v>#VALUE!</v>
      </c>
      <c r="V124" s="52" t="s">
        <v>10</v>
      </c>
      <c r="W124" s="50" t="e">
        <f ca="1">IF($C124="S",ROUND(IF(TIPOORCAMENTO="Proposto",ORÇAMENTO.CustoUnitario*(1+$AH124),ORÇAMENTO.PrecoUnitarioLicitado),15-13*$AF$10),0)</f>
        <v>#VALUE!</v>
      </c>
      <c r="X124" s="53" t="e">
        <f t="shared" ca="1" si="42"/>
        <v>#VALUE!</v>
      </c>
      <c r="Y124" s="54" t="s">
        <v>63</v>
      </c>
      <c r="Z124" t="e">
        <f t="shared" ca="1" si="56"/>
        <v>#VALUE!</v>
      </c>
      <c r="AA124" s="55" t="e">
        <f ca="1">IF($C124="S",IF($Z124="CP",$X124,IF($Z124="RA",(($X124)*[1]QCI!$AA$3),0)),SomaAgrup)</f>
        <v>#VALUE!</v>
      </c>
      <c r="AB124" s="56" t="e">
        <f t="shared" ca="1" si="43"/>
        <v>#VALUE!</v>
      </c>
      <c r="AC124" s="57" t="e">
        <f ca="1">IF($N124="","",IF(ORÇAMENTO.Descricao="","DESCRIÇÃO",IF(AND($C124="S",ORÇAMENTO.Unidade=""),"UNIDADE",IF($X124&lt;0,"VALOR NEGATIVO",IF(OR(AND(TIPOORCAMENTO="Proposto",$AG124&lt;&gt;"",$AG124&gt;0,ORÇAMENTO.CustoUnitario&gt;$AG124),AND(TIPOORCAMENTO="LICITADO",ORÇAMENTO.PrecoUnitarioLicitado&gt;$AN124)),"ACIMA REF.","")))))</f>
        <v>#VALUE!</v>
      </c>
      <c r="AD124" t="str">
        <f ca="1">IF(C124&lt;=CRONO.NivelExibicao,MAX($AD$15:OFFSET(AD124,-1,0))+IF($C124&lt;&gt;1,1,MAX(1,COUNTIF([1]QCI!$A$13:$A$24,OFFSET($E124,-1,0)))),"")</f>
        <v/>
      </c>
      <c r="AE124" s="4" t="str">
        <f ca="1">IF(AND($C124="S",ORÇAMENTO.CodBarra&lt;&gt;""),IF(ORÇAMENTO.Fonte="",ORÇAMENTO.CodBarra,CONCATENATE(ORÇAMENTO.Fonte," ",ORÇAMENTO.CodBarra)))</f>
        <v>SINAPI 89353</v>
      </c>
      <c r="AF124" s="58" t="e">
        <f ca="1">IF(ISERROR(INDIRECT(ORÇAMENTO.BancoRef)),"(abra o arquivo 'Referência "&amp;Excel_BuiltIn_Database&amp;".xls)",IF(OR($C124&lt;&gt;"S",ORÇAMENTO.CodBarra=""),"(Sem Código)",IF(ISERROR(MATCH($AE124,INDIRECT(ORÇAMENTO.BancoRef),0)),"(Código não identificado nas referências)",MATCH($AE124,INDIRECT(ORÇAMENTO.BancoRef),0))))</f>
        <v>#VALUE!</v>
      </c>
      <c r="AG124" s="59" t="e">
        <f ca="1">ROUND(IF(DESONERACAO="sim",REFERENCIA.Desonerado,REFERENCIA.NaoDesonerado),2)</f>
        <v>#VALUE!</v>
      </c>
      <c r="AH124" s="60">
        <f t="shared" si="44"/>
        <v>0.2223</v>
      </c>
      <c r="AJ124" s="61">
        <v>7</v>
      </c>
      <c r="AL124" s="62"/>
      <c r="AM124" s="63" t="e">
        <f t="shared" ca="1" si="0"/>
        <v>#VALUE!</v>
      </c>
      <c r="AN124" s="64" t="e">
        <f t="shared" ca="1" si="45"/>
        <v>#VALUE!</v>
      </c>
    </row>
    <row r="125" spans="1:40" ht="38.25" x14ac:dyDescent="0.2">
      <c r="A125" t="str">
        <f t="shared" si="41"/>
        <v>S</v>
      </c>
      <c r="B125">
        <f t="shared" ca="1" si="46"/>
        <v>3</v>
      </c>
      <c r="C125" t="str">
        <f t="shared" ca="1" si="47"/>
        <v>S</v>
      </c>
      <c r="D125">
        <f t="shared" ca="1" si="48"/>
        <v>0</v>
      </c>
      <c r="E125" t="e">
        <f ca="1">IF($C125=1,OFFSET(E125,-1,0)+MAX(1,COUNTIF([1]QCI!$A$13:$A$24,OFFSET(ORÇAMENTO!E125,-1,0))),OFFSET(E125,-1,0))</f>
        <v>#VALUE!</v>
      </c>
      <c r="F125">
        <f t="shared" ca="1" si="49"/>
        <v>2</v>
      </c>
      <c r="G125">
        <f t="shared" ca="1" si="50"/>
        <v>8</v>
      </c>
      <c r="H125">
        <f t="shared" ca="1" si="51"/>
        <v>0</v>
      </c>
      <c r="I125" t="e">
        <f t="shared" ca="1" si="52"/>
        <v>#VALUE!</v>
      </c>
      <c r="J125">
        <f t="shared" ca="1" si="59"/>
        <v>0</v>
      </c>
      <c r="K125">
        <f ca="1">IF(OR($C125="S",$C125=0),0,MATCH(OFFSET($D125,0,$C125)+IF($C125&lt;&gt;1,1,COUNTIF([1]QCI!$A$13:$A$24,ORÇAMENTO!E125)),OFFSET($D125,1,$C125,ROW($C$145)-ROW($C125)),0))</f>
        <v>0</v>
      </c>
      <c r="L125" s="42" t="e">
        <f t="shared" ca="1" si="53"/>
        <v>#VALUE!</v>
      </c>
      <c r="M125" s="43" t="s">
        <v>7</v>
      </c>
      <c r="N125" s="44" t="str">
        <f t="shared" ca="1" si="54"/>
        <v>Serviço</v>
      </c>
      <c r="O125" s="45" t="e">
        <f t="shared" ca="1" si="55"/>
        <v>#VALUE!</v>
      </c>
      <c r="P125" s="46" t="s">
        <v>62</v>
      </c>
      <c r="Q125" s="47">
        <v>89985</v>
      </c>
      <c r="R125" s="48" t="s">
        <v>207</v>
      </c>
      <c r="S125" s="49" t="s">
        <v>85</v>
      </c>
      <c r="T125" s="50" t="e">
        <f ca="1">OFFSET([1]CÁLCULO!H$15,ROW($T125)-ROW(T$15),0)</f>
        <v>#VALUE!</v>
      </c>
      <c r="U125" s="51" t="e">
        <f t="shared" ca="1" si="61"/>
        <v>#VALUE!</v>
      </c>
      <c r="V125" s="52" t="s">
        <v>10</v>
      </c>
      <c r="W125" s="50" t="e">
        <f ca="1">IF($C125="S",ROUND(IF(TIPOORCAMENTO="Proposto",ORÇAMENTO.CustoUnitario*(1+$AH125),ORÇAMENTO.PrecoUnitarioLicitado),15-13*$AF$10),0)</f>
        <v>#VALUE!</v>
      </c>
      <c r="X125" s="53" t="e">
        <f t="shared" ca="1" si="42"/>
        <v>#VALUE!</v>
      </c>
      <c r="Y125" s="54" t="s">
        <v>63</v>
      </c>
      <c r="Z125" t="e">
        <f t="shared" ca="1" si="56"/>
        <v>#VALUE!</v>
      </c>
      <c r="AA125" s="55" t="e">
        <f ca="1">IF($C125="S",IF($Z125="CP",$X125,IF($Z125="RA",(($X125)*[1]QCI!$AA$3),0)),SomaAgrup)</f>
        <v>#VALUE!</v>
      </c>
      <c r="AB125" s="56" t="e">
        <f t="shared" ca="1" si="43"/>
        <v>#VALUE!</v>
      </c>
      <c r="AC125" s="57" t="e">
        <f ca="1">IF($N125="","",IF(ORÇAMENTO.Descricao="","DESCRIÇÃO",IF(AND($C125="S",ORÇAMENTO.Unidade=""),"UNIDADE",IF($X125&lt;0,"VALOR NEGATIVO",IF(OR(AND(TIPOORCAMENTO="Proposto",$AG125&lt;&gt;"",$AG125&gt;0,ORÇAMENTO.CustoUnitario&gt;$AG125),AND(TIPOORCAMENTO="LICITADO",ORÇAMENTO.PrecoUnitarioLicitado&gt;$AN125)),"ACIMA REF.","")))))</f>
        <v>#VALUE!</v>
      </c>
      <c r="AD125" t="str">
        <f ca="1">IF(C125&lt;=CRONO.NivelExibicao,MAX($AD$15:OFFSET(AD125,-1,0))+IF($C125&lt;&gt;1,1,MAX(1,COUNTIF([1]QCI!$A$13:$A$24,OFFSET($E125,-1,0)))),"")</f>
        <v/>
      </c>
      <c r="AE125" s="4" t="str">
        <f ca="1">IF(AND($C125="S",ORÇAMENTO.CodBarra&lt;&gt;""),IF(ORÇAMENTO.Fonte="",ORÇAMENTO.CodBarra,CONCATENATE(ORÇAMENTO.Fonte," ",ORÇAMENTO.CodBarra)))</f>
        <v>SINAPI 89985</v>
      </c>
      <c r="AF125" s="58" t="e">
        <f ca="1">IF(ISERROR(INDIRECT(ORÇAMENTO.BancoRef)),"(abra o arquivo 'Referência "&amp;Excel_BuiltIn_Database&amp;".xls)",IF(OR($C125&lt;&gt;"S",ORÇAMENTO.CodBarra=""),"(Sem Código)",IF(ISERROR(MATCH($AE125,INDIRECT(ORÇAMENTO.BancoRef),0)),"(Código não identificado nas referências)",MATCH($AE125,INDIRECT(ORÇAMENTO.BancoRef),0))))</f>
        <v>#VALUE!</v>
      </c>
      <c r="AG125" s="59" t="e">
        <f ca="1">ROUND(IF(DESONERACAO="sim",REFERENCIA.Desonerado,REFERENCIA.NaoDesonerado),2)</f>
        <v>#VALUE!</v>
      </c>
      <c r="AH125" s="60">
        <f t="shared" si="44"/>
        <v>0.2223</v>
      </c>
      <c r="AJ125" s="61">
        <v>1</v>
      </c>
      <c r="AL125" s="62"/>
      <c r="AM125" s="63" t="e">
        <f t="shared" ca="1" si="0"/>
        <v>#VALUE!</v>
      </c>
      <c r="AN125" s="64" t="e">
        <f t="shared" ca="1" si="45"/>
        <v>#VALUE!</v>
      </c>
    </row>
    <row r="126" spans="1:40" ht="63.75" x14ac:dyDescent="0.2">
      <c r="A126" t="str">
        <f t="shared" ref="A126:A130" si="62">CHOOSE(1+LOG(1+2*(ORÇAMENTO.Nivel="Meta")+4*(ORÇAMENTO.Nivel="Nível 2")+8*(ORÇAMENTO.Nivel="Nível 3")+16*(ORÇAMENTO.Nivel="Nível 4")+32*(ORÇAMENTO.Nivel="Serviço"),2),0,1,2,3,4,"S")</f>
        <v>S</v>
      </c>
      <c r="B126">
        <f ca="1">IF(OR(C126="s",C126=0),OFFSET(B126,-1,0),C126)</f>
        <v>3</v>
      </c>
      <c r="C126" t="str">
        <f ca="1">IF(OFFSET(C126,-1,0)="L",1,IF(OFFSET(C126,-1,0)=1,2,IF(OR(A126="s",A126=0),"S",IF(AND(OFFSET(C126,-1,0)=2,A126=4),3,IF(AND(OR(OFFSET(C126,-1,0)="s",OFFSET(C126,-1,0)=0),A126&lt;&gt;"s",A126&gt;OFFSET(B126,-1,0)),OFFSET(B126,-1,0),A126)))))</f>
        <v>S</v>
      </c>
      <c r="D126">
        <f ca="1">IF(OR(C126="S",C126=0),0,IF(ISERROR(K126),J126,SMALL(J126:K126,1)))</f>
        <v>0</v>
      </c>
      <c r="E126" t="e">
        <f ca="1">IF($C126=1,OFFSET(E126,-1,0)+MAX(1,COUNTIF([1]QCI!$A$13:$A$24,OFFSET(ORÇAMENTO!E126,-1,0))),OFFSET(E126,-1,0))</f>
        <v>#VALUE!</v>
      </c>
      <c r="F126">
        <f ca="1">IF($C126=1,0,IF($C126=2,OFFSET(F126,-1,0)+1,OFFSET(F126,-1,0)))</f>
        <v>2</v>
      </c>
      <c r="G126">
        <f ca="1">IF(AND($C126&lt;=2,$C126&lt;&gt;0),0,IF($C126=3,OFFSET(G126,-1,0)+1,OFFSET(G126,-1,0)))</f>
        <v>8</v>
      </c>
      <c r="H126">
        <f ca="1">IF(AND($C126&lt;=3,$C126&lt;&gt;0),0,IF($C126=4,OFFSET(H126,-1,0)+1,OFFSET(H126,-1,0)))</f>
        <v>0</v>
      </c>
      <c r="I126" t="e">
        <f ca="1">IF(AND($C126&lt;=4,$C126&lt;&gt;0),0,IF(AND($C126="S",$X126&gt;0),OFFSET(I126,-1,0)+1,OFFSET(I126,-1,0)))</f>
        <v>#VALUE!</v>
      </c>
      <c r="J126">
        <f t="shared" ca="1" si="59"/>
        <v>0</v>
      </c>
      <c r="K126">
        <f ca="1">IF(OR($C126="S",$C126=0),0,MATCH(OFFSET($D126,0,$C126)+IF($C126&lt;&gt;1,1,COUNTIF([1]QCI!$A$13:$A$24,ORÇAMENTO!E126)),OFFSET($D126,1,$C126,ROW($C$145)-ROW($C126)),0))</f>
        <v>0</v>
      </c>
      <c r="L126" s="42" t="e">
        <f ca="1">IF(OR($X126&gt;0,$C126=1,$C126=2,$C126=3,$C126=4),"F","")</f>
        <v>#VALUE!</v>
      </c>
      <c r="M126" s="43" t="s">
        <v>7</v>
      </c>
      <c r="N126" s="44" t="str">
        <f ca="1">CHOOSE(1+LOG(1+2*(C126=1)+4*(C126=2)+8*(C126=3)+16*(C126=4)+32*(C126="S"),2),"","Meta","Nível 2","Nível 3","Nível 4","Serviço")</f>
        <v>Serviço</v>
      </c>
      <c r="O126" s="45" t="e">
        <f ca="1">IF(OR($C126=0,$L126=""),"-",CONCATENATE(E126&amp;".",IF(AND($A$5&gt;=2,$C126&gt;=2),F126&amp;".",""),IF(AND($A$5&gt;=3,$C126&gt;=3),G126&amp;".",""),IF(AND($A$5&gt;=4,$C126&gt;=4),H126&amp;".",""),IF($C126="S",I126&amp;".","")))</f>
        <v>#VALUE!</v>
      </c>
      <c r="P126" s="46" t="s">
        <v>62</v>
      </c>
      <c r="Q126" s="47">
        <v>91793</v>
      </c>
      <c r="R126" s="48" t="s">
        <v>208</v>
      </c>
      <c r="S126" s="49" t="s">
        <v>167</v>
      </c>
      <c r="T126" s="50" t="e">
        <f ca="1">OFFSET([1]CÁLCULO!H$15,ROW($T126)-ROW(T$15),0)</f>
        <v>#VALUE!</v>
      </c>
      <c r="U126" s="51" t="e">
        <f t="shared" ca="1" si="61"/>
        <v>#VALUE!</v>
      </c>
      <c r="V126" s="52" t="s">
        <v>10</v>
      </c>
      <c r="W126" s="50" t="e">
        <f ca="1">IF($C126="S",ROUND(IF(TIPOORCAMENTO="Proposto",ORÇAMENTO.CustoUnitario*(1+$AH126),ORÇAMENTO.PrecoUnitarioLicitado),15-13*$AF$10),0)</f>
        <v>#VALUE!</v>
      </c>
      <c r="X126" s="53" t="e">
        <f t="shared" ref="X126:X130" ca="1" si="63">IF($C126="S",VTOTAL1,IF($C126=0,0,ROUND(SomaAgrup,15-13*$AF$11)))</f>
        <v>#VALUE!</v>
      </c>
      <c r="Y126" s="54" t="s">
        <v>63</v>
      </c>
      <c r="Z126" t="e">
        <f ca="1">IF(AND($C126="S",$X126&gt;0),IF(ISBLANK($Y126),"RA",LEFT($Y126,2)),"")</f>
        <v>#VALUE!</v>
      </c>
      <c r="AA126" s="55" t="e">
        <f ca="1">IF($C126="S",IF($Z126="CP",$X126,IF($Z126="RA",(($X126)*[1]QCI!$AA$3),0)),SomaAgrup)</f>
        <v>#VALUE!</v>
      </c>
      <c r="AB126" s="56" t="e">
        <f t="shared" ref="AB126:AB130" ca="1" si="64">IF($C126="S",IF($Z126="OU",ROUND($X126,2),0),SomaAgrup)</f>
        <v>#VALUE!</v>
      </c>
      <c r="AC126" s="57" t="e">
        <f ca="1">IF($N126="","",IF(ORÇAMENTO.Descricao="","DESCRIÇÃO",IF(AND($C126="S",ORÇAMENTO.Unidade=""),"UNIDADE",IF($X126&lt;0,"VALOR NEGATIVO",IF(OR(AND(TIPOORCAMENTO="Proposto",$AG126&lt;&gt;"",$AG126&gt;0,ORÇAMENTO.CustoUnitario&gt;$AG126),AND(TIPOORCAMENTO="LICITADO",ORÇAMENTO.PrecoUnitarioLicitado&gt;$AN126)),"ACIMA REF.","")))))</f>
        <v>#VALUE!</v>
      </c>
      <c r="AD126" t="str">
        <f ca="1">IF(C126&lt;=CRONO.NivelExibicao,MAX($AD$15:OFFSET(AD126,-1,0))+IF($C126&lt;&gt;1,1,MAX(1,COUNTIF([1]QCI!$A$13:$A$24,OFFSET($E126,-1,0)))),"")</f>
        <v/>
      </c>
      <c r="AE126" s="4" t="str">
        <f ca="1">IF(AND($C126="S",ORÇAMENTO.CodBarra&lt;&gt;""),IF(ORÇAMENTO.Fonte="",ORÇAMENTO.CodBarra,CONCATENATE(ORÇAMENTO.Fonte," ",ORÇAMENTO.CodBarra)))</f>
        <v>SINAPI 91793</v>
      </c>
      <c r="AF126" s="58" t="e">
        <f ca="1">IF(ISERROR(INDIRECT(ORÇAMENTO.BancoRef)),"(abra o arquivo 'Referência "&amp;Excel_BuiltIn_Database&amp;".xls)",IF(OR($C126&lt;&gt;"S",ORÇAMENTO.CodBarra=""),"(Sem Código)",IF(ISERROR(MATCH($AE126,INDIRECT(ORÇAMENTO.BancoRef),0)),"(Código não identificado nas referências)",MATCH($AE126,INDIRECT(ORÇAMENTO.BancoRef),0))))</f>
        <v>#VALUE!</v>
      </c>
      <c r="AG126" s="59" t="e">
        <f ca="1">ROUND(IF(DESONERACAO="sim",REFERENCIA.Desonerado,REFERENCIA.NaoDesonerado),2)</f>
        <v>#VALUE!</v>
      </c>
      <c r="AH126" s="60">
        <f t="shared" ref="AH126:AH130" si="65">ROUND(IF(ISNUMBER(ORÇAMENTO.OpcaoBDI),ORÇAMENTO.OpcaoBDI,IF(LEFT(ORÇAMENTO.OpcaoBDI,3)="BDI",HLOOKUP(ORÇAMENTO.OpcaoBDI,$F$4:$H$5,2,FALSE),0)),15-11*$AF$9)</f>
        <v>0.2223</v>
      </c>
      <c r="AJ126" s="61">
        <v>21.76</v>
      </c>
      <c r="AL126" s="62"/>
      <c r="AM126" s="63" t="e">
        <f t="shared" ca="1" si="0"/>
        <v>#VALUE!</v>
      </c>
      <c r="AN126" s="64" t="e">
        <f t="shared" ref="AN126:AN130" ca="1" si="66">ROUND(ORÇAMENTO.CustoUnitario*(1+$AH126),2)</f>
        <v>#VALUE!</v>
      </c>
    </row>
    <row r="127" spans="1:40" ht="63.75" x14ac:dyDescent="0.2">
      <c r="A127" t="str">
        <f t="shared" si="62"/>
        <v>S</v>
      </c>
      <c r="B127">
        <f t="shared" ref="B127:B130" ca="1" si="67">IF(OR(C127="s",C127=0),OFFSET(B127,-1,0),C127)</f>
        <v>3</v>
      </c>
      <c r="C127" t="str">
        <f t="shared" ref="C127:C130" ca="1" si="68">IF(OFFSET(C127,-1,0)="L",1,IF(OFFSET(C127,-1,0)=1,2,IF(OR(A127="s",A127=0),"S",IF(AND(OFFSET(C127,-1,0)=2,A127=4),3,IF(AND(OR(OFFSET(C127,-1,0)="s",OFFSET(C127,-1,0)=0),A127&lt;&gt;"s",A127&gt;OFFSET(B127,-1,0)),OFFSET(B127,-1,0),A127)))))</f>
        <v>S</v>
      </c>
      <c r="D127">
        <f t="shared" ref="D127:D130" ca="1" si="69">IF(OR(C127="S",C127=0),0,IF(ISERROR(K127),J127,SMALL(J127:K127,1)))</f>
        <v>0</v>
      </c>
      <c r="E127" t="e">
        <f ca="1">IF($C127=1,OFFSET(E127,-1,0)+MAX(1,COUNTIF([1]QCI!$A$13:$A$24,OFFSET(ORÇAMENTO!E127,-1,0))),OFFSET(E127,-1,0))</f>
        <v>#VALUE!</v>
      </c>
      <c r="F127">
        <f t="shared" ref="F127:F130" ca="1" si="70">IF($C127=1,0,IF($C127=2,OFFSET(F127,-1,0)+1,OFFSET(F127,-1,0)))</f>
        <v>2</v>
      </c>
      <c r="G127">
        <f t="shared" ref="G127:G130" ca="1" si="71">IF(AND($C127&lt;=2,$C127&lt;&gt;0),0,IF($C127=3,OFFSET(G127,-1,0)+1,OFFSET(G127,-1,0)))</f>
        <v>8</v>
      </c>
      <c r="H127">
        <f t="shared" ref="H127:H130" ca="1" si="72">IF(AND($C127&lt;=3,$C127&lt;&gt;0),0,IF($C127=4,OFFSET(H127,-1,0)+1,OFFSET(H127,-1,0)))</f>
        <v>0</v>
      </c>
      <c r="I127" t="e">
        <f t="shared" ref="I127:I130" ca="1" si="73">IF(AND($C127&lt;=4,$C127&lt;&gt;0),0,IF(AND($C127="S",$X127&gt;0),OFFSET(I127,-1,0)+1,OFFSET(I127,-1,0)))</f>
        <v>#VALUE!</v>
      </c>
      <c r="J127">
        <f t="shared" ca="1" si="59"/>
        <v>0</v>
      </c>
      <c r="K127">
        <f ca="1">IF(OR($C127="S",$C127=0),0,MATCH(OFFSET($D127,0,$C127)+IF($C127&lt;&gt;1,1,COUNTIF([1]QCI!$A$13:$A$24,ORÇAMENTO!E127)),OFFSET($D127,1,$C127,ROW($C$145)-ROW($C127)),0))</f>
        <v>0</v>
      </c>
      <c r="L127" s="42" t="e">
        <f t="shared" ref="L127:L130" ca="1" si="74">IF(OR($X127&gt;0,$C127=1,$C127=2,$C127=3,$C127=4),"F","")</f>
        <v>#VALUE!</v>
      </c>
      <c r="M127" s="43" t="s">
        <v>7</v>
      </c>
      <c r="N127" s="44" t="str">
        <f t="shared" ref="N127:N130" ca="1" si="75">CHOOSE(1+LOG(1+2*(C127=1)+4*(C127=2)+8*(C127=3)+16*(C127=4)+32*(C127="S"),2),"","Meta","Nível 2","Nível 3","Nível 4","Serviço")</f>
        <v>Serviço</v>
      </c>
      <c r="O127" s="45" t="e">
        <f t="shared" ref="O127:O130" ca="1" si="76">IF(OR($C127=0,$L127=""),"-",CONCATENATE(E127&amp;".",IF(AND($A$5&gt;=2,$C127&gt;=2),F127&amp;".",""),IF(AND($A$5&gt;=3,$C127&gt;=3),G127&amp;".",""),IF(AND($A$5&gt;=4,$C127&gt;=4),H127&amp;".",""),IF($C127="S",I127&amp;".","")))</f>
        <v>#VALUE!</v>
      </c>
      <c r="P127" s="46" t="s">
        <v>62</v>
      </c>
      <c r="Q127" s="47">
        <v>91795</v>
      </c>
      <c r="R127" s="48" t="s">
        <v>209</v>
      </c>
      <c r="S127" s="49" t="s">
        <v>167</v>
      </c>
      <c r="T127" s="50" t="e">
        <f ca="1">OFFSET([1]CÁLCULO!H$15,ROW($T127)-ROW(T$15),0)</f>
        <v>#VALUE!</v>
      </c>
      <c r="U127" s="51" t="e">
        <f t="shared" ca="1" si="61"/>
        <v>#VALUE!</v>
      </c>
      <c r="V127" s="52" t="s">
        <v>10</v>
      </c>
      <c r="W127" s="50" t="e">
        <f ca="1">IF($C127="S",ROUND(IF(TIPOORCAMENTO="Proposto",ORÇAMENTO.CustoUnitario*(1+$AH127),ORÇAMENTO.PrecoUnitarioLicitado),15-13*$AF$10),0)</f>
        <v>#VALUE!</v>
      </c>
      <c r="X127" s="53" t="e">
        <f t="shared" ca="1" si="63"/>
        <v>#VALUE!</v>
      </c>
      <c r="Y127" s="54" t="s">
        <v>63</v>
      </c>
      <c r="Z127" t="e">
        <f t="shared" ref="Z127:Z130" ca="1" si="77">IF(AND($C127="S",$X127&gt;0),IF(ISBLANK($Y127),"RA",LEFT($Y127,2)),"")</f>
        <v>#VALUE!</v>
      </c>
      <c r="AA127" s="55" t="e">
        <f ca="1">IF($C127="S",IF($Z127="CP",$X127,IF($Z127="RA",(($X127)*[1]QCI!$AA$3),0)),SomaAgrup)</f>
        <v>#VALUE!</v>
      </c>
      <c r="AB127" s="56" t="e">
        <f t="shared" ca="1" si="64"/>
        <v>#VALUE!</v>
      </c>
      <c r="AC127" s="57" t="e">
        <f ca="1">IF($N127="","",IF(ORÇAMENTO.Descricao="","DESCRIÇÃO",IF(AND($C127="S",ORÇAMENTO.Unidade=""),"UNIDADE",IF($X127&lt;0,"VALOR NEGATIVO",IF(OR(AND(TIPOORCAMENTO="Proposto",$AG127&lt;&gt;"",$AG127&gt;0,ORÇAMENTO.CustoUnitario&gt;$AG127),AND(TIPOORCAMENTO="LICITADO",ORÇAMENTO.PrecoUnitarioLicitado&gt;$AN127)),"ACIMA REF.","")))))</f>
        <v>#VALUE!</v>
      </c>
      <c r="AD127" t="str">
        <f ca="1">IF(C127&lt;=CRONO.NivelExibicao,MAX($AD$15:OFFSET(AD127,-1,0))+IF($C127&lt;&gt;1,1,MAX(1,COUNTIF([1]QCI!$A$13:$A$24,OFFSET($E127,-1,0)))),"")</f>
        <v/>
      </c>
      <c r="AE127" s="4" t="str">
        <f ca="1">IF(AND($C127="S",ORÇAMENTO.CodBarra&lt;&gt;""),IF(ORÇAMENTO.Fonte="",ORÇAMENTO.CodBarra,CONCATENATE(ORÇAMENTO.Fonte," ",ORÇAMENTO.CodBarra)))</f>
        <v>SINAPI 91795</v>
      </c>
      <c r="AF127" s="58" t="e">
        <f ca="1">IF(ISERROR(INDIRECT(ORÇAMENTO.BancoRef)),"(abra o arquivo 'Referência "&amp;Excel_BuiltIn_Database&amp;".xls)",IF(OR($C127&lt;&gt;"S",ORÇAMENTO.CodBarra=""),"(Sem Código)",IF(ISERROR(MATCH($AE127,INDIRECT(ORÇAMENTO.BancoRef),0)),"(Código não identificado nas referências)",MATCH($AE127,INDIRECT(ORÇAMENTO.BancoRef),0))))</f>
        <v>#VALUE!</v>
      </c>
      <c r="AG127" s="59" t="e">
        <f ca="1">ROUND(IF(DESONERACAO="sim",REFERENCIA.Desonerado,REFERENCIA.NaoDesonerado),2)</f>
        <v>#VALUE!</v>
      </c>
      <c r="AH127" s="60">
        <f t="shared" si="65"/>
        <v>0.2223</v>
      </c>
      <c r="AJ127" s="61">
        <v>30.21</v>
      </c>
      <c r="AL127" s="62"/>
      <c r="AM127" s="63" t="e">
        <f t="shared" ca="1" si="0"/>
        <v>#VALUE!</v>
      </c>
      <c r="AN127" s="64" t="e">
        <f t="shared" ca="1" si="66"/>
        <v>#VALUE!</v>
      </c>
    </row>
    <row r="128" spans="1:40" ht="38.25" x14ac:dyDescent="0.2">
      <c r="A128" t="str">
        <f t="shared" si="62"/>
        <v>S</v>
      </c>
      <c r="B128">
        <f t="shared" ca="1" si="67"/>
        <v>3</v>
      </c>
      <c r="C128" t="str">
        <f t="shared" ca="1" si="68"/>
        <v>S</v>
      </c>
      <c r="D128">
        <f t="shared" ca="1" si="69"/>
        <v>0</v>
      </c>
      <c r="E128" t="e">
        <f ca="1">IF($C128=1,OFFSET(E128,-1,0)+MAX(1,COUNTIF([1]QCI!$A$13:$A$24,OFFSET(ORÇAMENTO!E128,-1,0))),OFFSET(E128,-1,0))</f>
        <v>#VALUE!</v>
      </c>
      <c r="F128">
        <f t="shared" ca="1" si="70"/>
        <v>2</v>
      </c>
      <c r="G128">
        <f t="shared" ca="1" si="71"/>
        <v>8</v>
      </c>
      <c r="H128">
        <f t="shared" ca="1" si="72"/>
        <v>0</v>
      </c>
      <c r="I128" t="e">
        <f t="shared" ca="1" si="73"/>
        <v>#VALUE!</v>
      </c>
      <c r="J128">
        <f t="shared" ca="1" si="59"/>
        <v>0</v>
      </c>
      <c r="K128">
        <f ca="1">IF(OR($C128="S",$C128=0),0,MATCH(OFFSET($D128,0,$C128)+IF($C128&lt;&gt;1,1,COUNTIF([1]QCI!$A$13:$A$24,ORÇAMENTO!E128)),OFFSET($D128,1,$C128,ROW($C$145)-ROW($C128)),0))</f>
        <v>0</v>
      </c>
      <c r="L128" s="42" t="e">
        <f t="shared" ca="1" si="74"/>
        <v>#VALUE!</v>
      </c>
      <c r="M128" s="43" t="s">
        <v>7</v>
      </c>
      <c r="N128" s="44" t="str">
        <f t="shared" ca="1" si="75"/>
        <v>Serviço</v>
      </c>
      <c r="O128" s="45" t="e">
        <f t="shared" ca="1" si="76"/>
        <v>#VALUE!</v>
      </c>
      <c r="P128" s="46" t="s">
        <v>62</v>
      </c>
      <c r="Q128" s="47" t="s">
        <v>210</v>
      </c>
      <c r="R128" s="48" t="s">
        <v>211</v>
      </c>
      <c r="S128" s="49" t="s">
        <v>85</v>
      </c>
      <c r="T128" s="50" t="e">
        <f ca="1">OFFSET([1]CÁLCULO!H$15,ROW($T128)-ROW(T$15),0)</f>
        <v>#VALUE!</v>
      </c>
      <c r="U128" s="51" t="e">
        <f t="shared" ca="1" si="61"/>
        <v>#VALUE!</v>
      </c>
      <c r="V128" s="52" t="s">
        <v>10</v>
      </c>
      <c r="W128" s="50" t="e">
        <f ca="1">IF($C128="S",ROUND(IF(TIPOORCAMENTO="Proposto",ORÇAMENTO.CustoUnitario*(1+$AH128),ORÇAMENTO.PrecoUnitarioLicitado),15-13*$AF$10),0)</f>
        <v>#VALUE!</v>
      </c>
      <c r="X128" s="53" t="e">
        <f t="shared" ca="1" si="63"/>
        <v>#VALUE!</v>
      </c>
      <c r="Y128" s="54" t="s">
        <v>63</v>
      </c>
      <c r="Z128" t="e">
        <f t="shared" ca="1" si="77"/>
        <v>#VALUE!</v>
      </c>
      <c r="AA128" s="55" t="e">
        <f ca="1">IF($C128="S",IF($Z128="CP",$X128,IF($Z128="RA",(($X128)*[1]QCI!$AA$3),0)),SomaAgrup)</f>
        <v>#VALUE!</v>
      </c>
      <c r="AB128" s="56" t="e">
        <f t="shared" ca="1" si="64"/>
        <v>#VALUE!</v>
      </c>
      <c r="AC128" s="57" t="e">
        <f ca="1">IF($N128="","",IF(ORÇAMENTO.Descricao="","DESCRIÇÃO",IF(AND($C128="S",ORÇAMENTO.Unidade=""),"UNIDADE",IF($X128&lt;0,"VALOR NEGATIVO",IF(OR(AND(TIPOORCAMENTO="Proposto",$AG128&lt;&gt;"",$AG128&gt;0,ORÇAMENTO.CustoUnitario&gt;$AG128),AND(TIPOORCAMENTO="LICITADO",ORÇAMENTO.PrecoUnitarioLicitado&gt;$AN128)),"ACIMA REF.","")))))</f>
        <v>#VALUE!</v>
      </c>
      <c r="AD128" t="str">
        <f ca="1">IF(C128&lt;=CRONO.NivelExibicao,MAX($AD$15:OFFSET(AD128,-1,0))+IF($C128&lt;&gt;1,1,MAX(1,COUNTIF([1]QCI!$A$13:$A$24,OFFSET($E128,-1,0)))),"")</f>
        <v/>
      </c>
      <c r="AE128" s="4" t="str">
        <f ca="1">IF(AND($C128="S",ORÇAMENTO.CodBarra&lt;&gt;""),IF(ORÇAMENTO.Fonte="",ORÇAMENTO.CodBarra,CONCATENATE(ORÇAMENTO.Fonte," ",ORÇAMENTO.CodBarra)))</f>
        <v>SINAPI 89482</v>
      </c>
      <c r="AF128" s="58" t="e">
        <f ca="1">IF(ISERROR(INDIRECT(ORÇAMENTO.BancoRef)),"(abra o arquivo 'Referência "&amp;Excel_BuiltIn_Database&amp;".xls)",IF(OR($C128&lt;&gt;"S",ORÇAMENTO.CodBarra=""),"(Sem Código)",IF(ISERROR(MATCH($AE128,INDIRECT(ORÇAMENTO.BancoRef),0)),"(Código não identificado nas referências)",MATCH($AE128,INDIRECT(ORÇAMENTO.BancoRef),0))))</f>
        <v>#VALUE!</v>
      </c>
      <c r="AG128" s="59" t="e">
        <f ca="1">ROUND(IF(DESONERACAO="sim",REFERENCIA.Desonerado,REFERENCIA.NaoDesonerado),2)</f>
        <v>#VALUE!</v>
      </c>
      <c r="AH128" s="60">
        <f t="shared" si="65"/>
        <v>0.2223</v>
      </c>
      <c r="AJ128" s="61">
        <v>8</v>
      </c>
      <c r="AL128" s="62"/>
      <c r="AM128" s="63" t="e">
        <f t="shared" ca="1" si="0"/>
        <v>#VALUE!</v>
      </c>
      <c r="AN128" s="64" t="e">
        <f t="shared" ca="1" si="66"/>
        <v>#VALUE!</v>
      </c>
    </row>
    <row r="129" spans="1:40" ht="38.25" x14ac:dyDescent="0.2">
      <c r="A129" t="str">
        <f t="shared" si="62"/>
        <v>S</v>
      </c>
      <c r="B129">
        <f t="shared" ca="1" si="67"/>
        <v>3</v>
      </c>
      <c r="C129" t="str">
        <f t="shared" ca="1" si="68"/>
        <v>S</v>
      </c>
      <c r="D129">
        <f t="shared" ca="1" si="69"/>
        <v>0</v>
      </c>
      <c r="E129" t="e">
        <f ca="1">IF($C129=1,OFFSET(E129,-1,0)+MAX(1,COUNTIF([1]QCI!$A$13:$A$24,OFFSET(ORÇAMENTO!E129,-1,0))),OFFSET(E129,-1,0))</f>
        <v>#VALUE!</v>
      </c>
      <c r="F129">
        <f t="shared" ca="1" si="70"/>
        <v>2</v>
      </c>
      <c r="G129">
        <f t="shared" ca="1" si="71"/>
        <v>8</v>
      </c>
      <c r="H129">
        <f t="shared" ca="1" si="72"/>
        <v>0</v>
      </c>
      <c r="I129" t="e">
        <f t="shared" ca="1" si="73"/>
        <v>#VALUE!</v>
      </c>
      <c r="J129">
        <f t="shared" ca="1" si="59"/>
        <v>0</v>
      </c>
      <c r="K129">
        <f ca="1">IF(OR($C129="S",$C129=0),0,MATCH(OFFSET($D129,0,$C129)+IF($C129&lt;&gt;1,1,COUNTIF([1]QCI!$A$13:$A$24,ORÇAMENTO!E129)),OFFSET($D129,1,$C129,ROW($C$145)-ROW($C129)),0))</f>
        <v>0</v>
      </c>
      <c r="L129" s="42" t="e">
        <f t="shared" ca="1" si="74"/>
        <v>#VALUE!</v>
      </c>
      <c r="M129" s="43" t="s">
        <v>7</v>
      </c>
      <c r="N129" s="44" t="str">
        <f t="shared" ca="1" si="75"/>
        <v>Serviço</v>
      </c>
      <c r="O129" s="45" t="e">
        <f t="shared" ca="1" si="76"/>
        <v>#VALUE!</v>
      </c>
      <c r="P129" s="46" t="s">
        <v>62</v>
      </c>
      <c r="Q129" s="47">
        <v>98052</v>
      </c>
      <c r="R129" s="48" t="s">
        <v>212</v>
      </c>
      <c r="S129" s="49" t="s">
        <v>85</v>
      </c>
      <c r="T129" s="50" t="e">
        <f ca="1">OFFSET([1]CÁLCULO!H$15,ROW($T129)-ROW(T$15),0)</f>
        <v>#VALUE!</v>
      </c>
      <c r="U129" s="51" t="e">
        <f t="shared" ca="1" si="61"/>
        <v>#VALUE!</v>
      </c>
      <c r="V129" s="52" t="s">
        <v>10</v>
      </c>
      <c r="W129" s="50" t="e">
        <f ca="1">IF($C129="S",ROUND(IF(TIPOORCAMENTO="Proposto",ORÇAMENTO.CustoUnitario*(1+$AH129),ORÇAMENTO.PrecoUnitarioLicitado),15-13*$AF$10),0)</f>
        <v>#VALUE!</v>
      </c>
      <c r="X129" s="53" t="e">
        <f t="shared" ca="1" si="63"/>
        <v>#VALUE!</v>
      </c>
      <c r="Y129" s="54" t="s">
        <v>63</v>
      </c>
      <c r="Z129" t="e">
        <f t="shared" ca="1" si="77"/>
        <v>#VALUE!</v>
      </c>
      <c r="AA129" s="55" t="e">
        <f ca="1">IF($C129="S",IF($Z129="CP",$X129,IF($Z129="RA",(($X129)*[1]QCI!$AA$3),0)),SomaAgrup)</f>
        <v>#VALUE!</v>
      </c>
      <c r="AB129" s="56" t="e">
        <f t="shared" ca="1" si="64"/>
        <v>#VALUE!</v>
      </c>
      <c r="AC129" s="57" t="e">
        <f ca="1">IF($N129="","",IF(ORÇAMENTO.Descricao="","DESCRIÇÃO",IF(AND($C129="S",ORÇAMENTO.Unidade=""),"UNIDADE",IF($X129&lt;0,"VALOR NEGATIVO",IF(OR(AND(TIPOORCAMENTO="Proposto",$AG129&lt;&gt;"",$AG129&gt;0,ORÇAMENTO.CustoUnitario&gt;$AG129),AND(TIPOORCAMENTO="LICITADO",ORÇAMENTO.PrecoUnitarioLicitado&gt;$AN129)),"ACIMA REF.","")))))</f>
        <v>#VALUE!</v>
      </c>
      <c r="AD129" t="str">
        <f ca="1">IF(C129&lt;=CRONO.NivelExibicao,MAX($AD$15:OFFSET(AD129,-1,0))+IF($C129&lt;&gt;1,1,MAX(1,COUNTIF([1]QCI!$A$13:$A$24,OFFSET($E129,-1,0)))),"")</f>
        <v/>
      </c>
      <c r="AE129" s="4" t="str">
        <f ca="1">IF(AND($C129="S",ORÇAMENTO.CodBarra&lt;&gt;""),IF(ORÇAMENTO.Fonte="",ORÇAMENTO.CodBarra,CONCATENATE(ORÇAMENTO.Fonte," ",ORÇAMENTO.CodBarra)))</f>
        <v>SINAPI 98052</v>
      </c>
      <c r="AF129" s="58" t="e">
        <f ca="1">IF(ISERROR(INDIRECT(ORÇAMENTO.BancoRef)),"(abra o arquivo 'Referência "&amp;Excel_BuiltIn_Database&amp;".xls)",IF(OR($C129&lt;&gt;"S",ORÇAMENTO.CodBarra=""),"(Sem Código)",IF(ISERROR(MATCH($AE129,INDIRECT(ORÇAMENTO.BancoRef),0)),"(Código não identificado nas referências)",MATCH($AE129,INDIRECT(ORÇAMENTO.BancoRef),0))))</f>
        <v>#VALUE!</v>
      </c>
      <c r="AG129" s="59" t="e">
        <f ca="1">ROUND(IF(DESONERACAO="sim",REFERENCIA.Desonerado,REFERENCIA.NaoDesonerado),2)</f>
        <v>#VALUE!</v>
      </c>
      <c r="AH129" s="60">
        <f t="shared" si="65"/>
        <v>0.2223</v>
      </c>
      <c r="AJ129" s="61">
        <v>1</v>
      </c>
      <c r="AL129" s="62"/>
      <c r="AM129" s="63" t="e">
        <f t="shared" ca="1" si="0"/>
        <v>#VALUE!</v>
      </c>
      <c r="AN129" s="64" t="e">
        <f t="shared" ca="1" si="66"/>
        <v>#VALUE!</v>
      </c>
    </row>
    <row r="130" spans="1:40" ht="38.25" x14ac:dyDescent="0.2">
      <c r="A130" t="str">
        <f t="shared" si="62"/>
        <v>S</v>
      </c>
      <c r="B130">
        <f t="shared" ca="1" si="67"/>
        <v>3</v>
      </c>
      <c r="C130" t="str">
        <f t="shared" ca="1" si="68"/>
        <v>S</v>
      </c>
      <c r="D130">
        <f t="shared" ca="1" si="69"/>
        <v>0</v>
      </c>
      <c r="E130" t="e">
        <f ca="1">IF($C130=1,OFFSET(E130,-1,0)+MAX(1,COUNTIF([1]QCI!$A$13:$A$24,OFFSET(ORÇAMENTO!E130,-1,0))),OFFSET(E130,-1,0))</f>
        <v>#VALUE!</v>
      </c>
      <c r="F130">
        <f t="shared" ca="1" si="70"/>
        <v>2</v>
      </c>
      <c r="G130">
        <f t="shared" ca="1" si="71"/>
        <v>8</v>
      </c>
      <c r="H130">
        <f t="shared" ca="1" si="72"/>
        <v>0</v>
      </c>
      <c r="I130" t="e">
        <f t="shared" ca="1" si="73"/>
        <v>#VALUE!</v>
      </c>
      <c r="J130">
        <f t="shared" ca="1" si="59"/>
        <v>0</v>
      </c>
      <c r="K130">
        <f ca="1">IF(OR($C130="S",$C130=0),0,MATCH(OFFSET($D130,0,$C130)+IF($C130&lt;&gt;1,1,COUNTIF([1]QCI!$A$13:$A$24,ORÇAMENTO!E130)),OFFSET($D130,1,$C130,ROW($C$145)-ROW($C130)),0))</f>
        <v>0</v>
      </c>
      <c r="L130" s="42" t="e">
        <f t="shared" ca="1" si="74"/>
        <v>#VALUE!</v>
      </c>
      <c r="M130" s="43" t="s">
        <v>7</v>
      </c>
      <c r="N130" s="44" t="str">
        <f t="shared" ca="1" si="75"/>
        <v>Serviço</v>
      </c>
      <c r="O130" s="45" t="e">
        <f t="shared" ca="1" si="76"/>
        <v>#VALUE!</v>
      </c>
      <c r="P130" s="46" t="s">
        <v>62</v>
      </c>
      <c r="Q130" s="47">
        <v>98078</v>
      </c>
      <c r="R130" s="48" t="s">
        <v>213</v>
      </c>
      <c r="S130" s="49" t="s">
        <v>85</v>
      </c>
      <c r="T130" s="50" t="e">
        <f ca="1">OFFSET([1]CÁLCULO!H$15,ROW($T130)-ROW(T$15),0)</f>
        <v>#VALUE!</v>
      </c>
      <c r="U130" s="51" t="e">
        <f t="shared" ca="1" si="61"/>
        <v>#VALUE!</v>
      </c>
      <c r="V130" s="52" t="s">
        <v>10</v>
      </c>
      <c r="W130" s="50" t="e">
        <f ca="1">IF($C130="S",ROUND(IF(TIPOORCAMENTO="Proposto",ORÇAMENTO.CustoUnitario*(1+$AH130),ORÇAMENTO.PrecoUnitarioLicitado),15-13*$AF$10),0)</f>
        <v>#VALUE!</v>
      </c>
      <c r="X130" s="53" t="e">
        <f t="shared" ca="1" si="63"/>
        <v>#VALUE!</v>
      </c>
      <c r="Y130" s="54" t="s">
        <v>63</v>
      </c>
      <c r="Z130" t="e">
        <f t="shared" ca="1" si="77"/>
        <v>#VALUE!</v>
      </c>
      <c r="AA130" s="55" t="e">
        <f ca="1">IF($C130="S",IF($Z130="CP",$X130,IF($Z130="RA",(($X130)*[1]QCI!$AA$3),0)),SomaAgrup)</f>
        <v>#VALUE!</v>
      </c>
      <c r="AB130" s="56" t="e">
        <f t="shared" ca="1" si="64"/>
        <v>#VALUE!</v>
      </c>
      <c r="AC130" s="57" t="e">
        <f ca="1">IF($N130="","",IF(ORÇAMENTO.Descricao="","DESCRIÇÃO",IF(AND($C130="S",ORÇAMENTO.Unidade=""),"UNIDADE",IF($X130&lt;0,"VALOR NEGATIVO",IF(OR(AND(TIPOORCAMENTO="Proposto",$AG130&lt;&gt;"",$AG130&gt;0,ORÇAMENTO.CustoUnitario&gt;$AG130),AND(TIPOORCAMENTO="LICITADO",ORÇAMENTO.PrecoUnitarioLicitado&gt;$AN130)),"ACIMA REF.","")))))</f>
        <v>#VALUE!</v>
      </c>
      <c r="AD130" t="str">
        <f ca="1">IF(C130&lt;=CRONO.NivelExibicao,MAX($AD$15:OFFSET(AD130,-1,0))+IF($C130&lt;&gt;1,1,MAX(1,COUNTIF([1]QCI!$A$13:$A$24,OFFSET($E130,-1,0)))),"")</f>
        <v/>
      </c>
      <c r="AE130" s="4" t="str">
        <f ca="1">IF(AND($C130="S",ORÇAMENTO.CodBarra&lt;&gt;""),IF(ORÇAMENTO.Fonte="",ORÇAMENTO.CodBarra,CONCATENATE(ORÇAMENTO.Fonte," ",ORÇAMENTO.CodBarra)))</f>
        <v>SINAPI 98078</v>
      </c>
      <c r="AF130" s="58" t="e">
        <f ca="1">IF(ISERROR(INDIRECT(ORÇAMENTO.BancoRef)),"(abra o arquivo 'Referência "&amp;Excel_BuiltIn_Database&amp;".xls)",IF(OR($C130&lt;&gt;"S",ORÇAMENTO.CodBarra=""),"(Sem Código)",IF(ISERROR(MATCH($AE130,INDIRECT(ORÇAMENTO.BancoRef),0)),"(Código não identificado nas referências)",MATCH($AE130,INDIRECT(ORÇAMENTO.BancoRef),0))))</f>
        <v>#VALUE!</v>
      </c>
      <c r="AG130" s="59" t="e">
        <f ca="1">ROUND(IF(DESONERACAO="sim",REFERENCIA.Desonerado,REFERENCIA.NaoDesonerado),2)</f>
        <v>#VALUE!</v>
      </c>
      <c r="AH130" s="60">
        <f t="shared" si="65"/>
        <v>0.2223</v>
      </c>
      <c r="AJ130" s="61">
        <v>1</v>
      </c>
      <c r="AL130" s="62"/>
      <c r="AM130" s="63" t="e">
        <f t="shared" ca="1" si="0"/>
        <v>#VALUE!</v>
      </c>
      <c r="AN130" s="64" t="e">
        <f t="shared" ca="1" si="66"/>
        <v>#VALUE!</v>
      </c>
    </row>
    <row r="131" spans="1:40" x14ac:dyDescent="0.2">
      <c r="A131">
        <f t="shared" si="41"/>
        <v>3</v>
      </c>
      <c r="B131">
        <f t="shared" ca="1" si="46"/>
        <v>3</v>
      </c>
      <c r="C131">
        <f t="shared" ca="1" si="47"/>
        <v>3</v>
      </c>
      <c r="D131">
        <f t="shared" ca="1" si="48"/>
        <v>4</v>
      </c>
      <c r="E131" t="e">
        <f ca="1">IF($C131=1,OFFSET(E131,-1,0)+MAX(1,COUNTIF([1]QCI!$A$13:$A$24,OFFSET(ORÇAMENTO!E131,-1,0))),OFFSET(E131,-1,0))</f>
        <v>#VALUE!</v>
      </c>
      <c r="F131">
        <f t="shared" ca="1" si="49"/>
        <v>2</v>
      </c>
      <c r="G131">
        <f t="shared" ca="1" si="50"/>
        <v>9</v>
      </c>
      <c r="H131">
        <f t="shared" ca="1" si="51"/>
        <v>0</v>
      </c>
      <c r="I131">
        <f t="shared" ca="1" si="52"/>
        <v>0</v>
      </c>
      <c r="J131">
        <f t="shared" ca="1" si="59"/>
        <v>14</v>
      </c>
      <c r="K131">
        <f ca="1">IF(OR($C131="S",$C131=0),0,MATCH(OFFSET($D131,0,$C131)+IF($C131&lt;&gt;1,1,COUNTIF([1]QCI!$A$13:$A$24,ORÇAMENTO!E131)),OFFSET($D131,1,$C131,ROW($C$145)-ROW($C131)),0))</f>
        <v>4</v>
      </c>
      <c r="L131" s="42" t="e">
        <f t="shared" ca="1" si="53"/>
        <v>#VALUE!</v>
      </c>
      <c r="M131" s="43" t="s">
        <v>5</v>
      </c>
      <c r="N131" s="44" t="str">
        <f t="shared" ca="1" si="54"/>
        <v>Nível 3</v>
      </c>
      <c r="O131" s="45" t="e">
        <f t="shared" ca="1" si="55"/>
        <v>#VALUE!</v>
      </c>
      <c r="P131" s="46" t="s">
        <v>62</v>
      </c>
      <c r="Q131" s="47"/>
      <c r="R131" s="48" t="s">
        <v>214</v>
      </c>
      <c r="S131" s="49" t="s">
        <v>67</v>
      </c>
      <c r="T131" s="50" t="e">
        <f ca="1">OFFSET([1]CÁLCULO!H$15,ROW($T131)-ROW(T$15),0)</f>
        <v>#VALUE!</v>
      </c>
      <c r="U131" s="51"/>
      <c r="V131" s="52" t="s">
        <v>10</v>
      </c>
      <c r="W131" s="50">
        <f ca="1">IF($C131="S",ROUND(IF(TIPOORCAMENTO="Proposto",ORÇAMENTO.CustoUnitario*(1+$AH131),ORÇAMENTO.PrecoUnitarioLicitado),15-13*$AF$10),0)</f>
        <v>0</v>
      </c>
      <c r="X131" s="53" t="e">
        <f t="shared" ca="1" si="42"/>
        <v>#VALUE!</v>
      </c>
      <c r="Y131" s="54" t="s">
        <v>63</v>
      </c>
      <c r="Z131" t="e">
        <f t="shared" ca="1" si="56"/>
        <v>#VALUE!</v>
      </c>
      <c r="AA131" s="55" t="e">
        <f ca="1">IF($C131="S",IF($Z131="CP",$X131,IF($Z131="RA",(($X131)*[1]QCI!$AA$3),0)),SomaAgrup)</f>
        <v>#VALUE!</v>
      </c>
      <c r="AB131" s="56" t="e">
        <f t="shared" ca="1" si="43"/>
        <v>#VALUE!</v>
      </c>
      <c r="AC131" s="57" t="e">
        <f ca="1">IF($N131="","",IF(ORÇAMENTO.Descricao="","DESCRIÇÃO",IF(AND($C131="S",ORÇAMENTO.Unidade=""),"UNIDADE",IF($X131&lt;0,"VALOR NEGATIVO",IF(OR(AND(TIPOORCAMENTO="Proposto",$AG131&lt;&gt;"",$AG131&gt;0,ORÇAMENTO.CustoUnitario&gt;$AG131),AND(TIPOORCAMENTO="LICITADO",ORÇAMENTO.PrecoUnitarioLicitado&gt;$AN131)),"ACIMA REF.","")))))</f>
        <v>#VALUE!</v>
      </c>
      <c r="AD131" t="e">
        <f ca="1">IF(C131&lt;=CRONO.NivelExibicao,MAX($AD$15:OFFSET(AD131,-1,0))+IF($C131&lt;&gt;1,1,MAX(1,COUNTIF([1]QCI!$A$13:$A$24,OFFSET($E131,-1,0)))),"")</f>
        <v>#VALUE!</v>
      </c>
      <c r="AE131" s="4" t="b">
        <f ca="1">IF(AND($C131="S",ORÇAMENTO.CodBarra&lt;&gt;""),IF(ORÇAMENTO.Fonte="",ORÇAMENTO.CodBarra,CONCATENATE(ORÇAMENTO.Fonte," ",ORÇAMENTO.CodBarra)))</f>
        <v>0</v>
      </c>
      <c r="AF131" s="58" t="e">
        <f ca="1">IF(ISERROR(INDIRECT(ORÇAMENTO.BancoRef)),"(abra o arquivo 'Referência "&amp;Excel_BuiltIn_Database&amp;".xls)",IF(OR($C131&lt;&gt;"S",ORÇAMENTO.CodBarra=""),"(Sem Código)",IF(ISERROR(MATCH($AE131,INDIRECT(ORÇAMENTO.BancoRef),0)),"(Código não identificado nas referências)",MATCH($AE131,INDIRECT(ORÇAMENTO.BancoRef),0))))</f>
        <v>#VALUE!</v>
      </c>
      <c r="AG131" s="59" t="e">
        <f ca="1">ROUND(IF(DESONERACAO="sim",REFERENCIA.Desonerado,REFERENCIA.NaoDesonerado),2)</f>
        <v>#VALUE!</v>
      </c>
      <c r="AH131" s="60">
        <f t="shared" si="44"/>
        <v>0.2223</v>
      </c>
      <c r="AJ131" s="61"/>
      <c r="AL131" s="62"/>
      <c r="AM131" s="63" t="e">
        <f t="shared" ca="1" si="0"/>
        <v>#VALUE!</v>
      </c>
      <c r="AN131" s="64">
        <f t="shared" si="45"/>
        <v>0</v>
      </c>
    </row>
    <row r="132" spans="1:40" ht="38.25" x14ac:dyDescent="0.2">
      <c r="A132" t="str">
        <f t="shared" si="41"/>
        <v>S</v>
      </c>
      <c r="B132">
        <f t="shared" ca="1" si="46"/>
        <v>3</v>
      </c>
      <c r="C132" t="str">
        <f t="shared" ca="1" si="47"/>
        <v>S</v>
      </c>
      <c r="D132">
        <f t="shared" ca="1" si="48"/>
        <v>0</v>
      </c>
      <c r="E132" t="e">
        <f ca="1">IF($C132=1,OFFSET(E132,-1,0)+MAX(1,COUNTIF([1]QCI!$A$13:$A$24,OFFSET(ORÇAMENTO!E132,-1,0))),OFFSET(E132,-1,0))</f>
        <v>#VALUE!</v>
      </c>
      <c r="F132">
        <f t="shared" ca="1" si="49"/>
        <v>2</v>
      </c>
      <c r="G132">
        <f t="shared" ca="1" si="50"/>
        <v>9</v>
      </c>
      <c r="H132">
        <f t="shared" ca="1" si="51"/>
        <v>0</v>
      </c>
      <c r="I132" t="e">
        <f t="shared" ca="1" si="52"/>
        <v>#VALUE!</v>
      </c>
      <c r="J132">
        <f t="shared" ca="1" si="59"/>
        <v>0</v>
      </c>
      <c r="K132">
        <f ca="1">IF(OR($C132="S",$C132=0),0,MATCH(OFFSET($D132,0,$C132)+IF($C132&lt;&gt;1,1,COUNTIF([1]QCI!$A$13:$A$24,ORÇAMENTO!E132)),OFFSET($D132,1,$C132,ROW($C$145)-ROW($C132)),0))</f>
        <v>0</v>
      </c>
      <c r="L132" s="42" t="e">
        <f t="shared" ca="1" si="53"/>
        <v>#VALUE!</v>
      </c>
      <c r="M132" s="43" t="s">
        <v>7</v>
      </c>
      <c r="N132" s="44" t="str">
        <f t="shared" ca="1" si="54"/>
        <v>Serviço</v>
      </c>
      <c r="O132" s="45" t="e">
        <f t="shared" ca="1" si="55"/>
        <v>#VALUE!</v>
      </c>
      <c r="P132" s="46" t="s">
        <v>62</v>
      </c>
      <c r="Q132" s="47" t="s">
        <v>158</v>
      </c>
      <c r="R132" s="48" t="s">
        <v>159</v>
      </c>
      <c r="S132" s="49" t="s">
        <v>78</v>
      </c>
      <c r="T132" s="50" t="e">
        <f ca="1">OFFSET([1]CÁLCULO!H$15,ROW($T132)-ROW(T$15),0)</f>
        <v>#VALUE!</v>
      </c>
      <c r="U132" s="51" t="e">
        <f ca="1">AG132</f>
        <v>#VALUE!</v>
      </c>
      <c r="V132" s="52" t="s">
        <v>10</v>
      </c>
      <c r="W132" s="50" t="e">
        <f ca="1">IF($C132="S",ROUND(IF(TIPOORCAMENTO="Proposto",ORÇAMENTO.CustoUnitario*(1+$AH132),ORÇAMENTO.PrecoUnitarioLicitado),15-13*$AF$10),0)</f>
        <v>#VALUE!</v>
      </c>
      <c r="X132" s="53" t="e">
        <f t="shared" ca="1" si="42"/>
        <v>#VALUE!</v>
      </c>
      <c r="Y132" s="54" t="s">
        <v>63</v>
      </c>
      <c r="Z132" t="e">
        <f t="shared" ca="1" si="56"/>
        <v>#VALUE!</v>
      </c>
      <c r="AA132" s="55" t="e">
        <f ca="1">IF($C132="S",IF($Z132="CP",$X132,IF($Z132="RA",(($X132)*[1]QCI!$AA$3),0)),SomaAgrup)</f>
        <v>#VALUE!</v>
      </c>
      <c r="AB132" s="56" t="e">
        <f t="shared" ca="1" si="43"/>
        <v>#VALUE!</v>
      </c>
      <c r="AC132" s="57" t="e">
        <f ca="1">IF($N132="","",IF(ORÇAMENTO.Descricao="","DESCRIÇÃO",IF(AND($C132="S",ORÇAMENTO.Unidade=""),"UNIDADE",IF($X132&lt;0,"VALOR NEGATIVO",IF(OR(AND(TIPOORCAMENTO="Proposto",$AG132&lt;&gt;"",$AG132&gt;0,ORÇAMENTO.CustoUnitario&gt;$AG132),AND(TIPOORCAMENTO="LICITADO",ORÇAMENTO.PrecoUnitarioLicitado&gt;$AN132)),"ACIMA REF.","")))))</f>
        <v>#VALUE!</v>
      </c>
      <c r="AD132" t="str">
        <f ca="1">IF(C132&lt;=CRONO.NivelExibicao,MAX($AD$15:OFFSET(AD132,-1,0))+IF($C132&lt;&gt;1,1,MAX(1,COUNTIF([1]QCI!$A$13:$A$24,OFFSET($E132,-1,0)))),"")</f>
        <v/>
      </c>
      <c r="AE132" s="4" t="str">
        <f ca="1">IF(AND($C132="S",ORÇAMENTO.CodBarra&lt;&gt;""),IF(ORÇAMENTO.Fonte="",ORÇAMENTO.CodBarra,CONCATENATE(ORÇAMENTO.Fonte," ",ORÇAMENTO.CodBarra)))</f>
        <v>SINAPI 100324</v>
      </c>
      <c r="AF132" s="58" t="e">
        <f ca="1">IF(ISERROR(INDIRECT(ORÇAMENTO.BancoRef)),"(abra o arquivo 'Referência "&amp;Excel_BuiltIn_Database&amp;".xls)",IF(OR($C132&lt;&gt;"S",ORÇAMENTO.CodBarra=""),"(Sem Código)",IF(ISERROR(MATCH($AE132,INDIRECT(ORÇAMENTO.BancoRef),0)),"(Código não identificado nas referências)",MATCH($AE132,INDIRECT(ORÇAMENTO.BancoRef),0))))</f>
        <v>#VALUE!</v>
      </c>
      <c r="AG132" s="59" t="e">
        <f ca="1">ROUND(IF(DESONERACAO="sim",REFERENCIA.Desonerado,REFERENCIA.NaoDesonerado),2)</f>
        <v>#VALUE!</v>
      </c>
      <c r="AH132" s="60">
        <f t="shared" si="44"/>
        <v>0.2223</v>
      </c>
      <c r="AJ132" s="61">
        <v>18.3</v>
      </c>
      <c r="AL132" s="62"/>
      <c r="AM132" s="63" t="e">
        <f t="shared" ca="1" si="0"/>
        <v>#VALUE!</v>
      </c>
      <c r="AN132" s="64" t="e">
        <f t="shared" ca="1" si="45"/>
        <v>#VALUE!</v>
      </c>
    </row>
    <row r="133" spans="1:40" ht="38.25" x14ac:dyDescent="0.2">
      <c r="A133" t="str">
        <f t="shared" si="41"/>
        <v>S</v>
      </c>
      <c r="B133">
        <f t="shared" ca="1" si="46"/>
        <v>3</v>
      </c>
      <c r="C133" t="str">
        <f t="shared" ca="1" si="47"/>
        <v>S</v>
      </c>
      <c r="D133">
        <f t="shared" ca="1" si="48"/>
        <v>0</v>
      </c>
      <c r="E133" t="e">
        <f ca="1">IF($C133=1,OFFSET(E133,-1,0)+MAX(1,COUNTIF([1]QCI!$A$13:$A$24,OFFSET(ORÇAMENTO!E133,-1,0))),OFFSET(E133,-1,0))</f>
        <v>#VALUE!</v>
      </c>
      <c r="F133">
        <f t="shared" ca="1" si="49"/>
        <v>2</v>
      </c>
      <c r="G133">
        <f t="shared" ca="1" si="50"/>
        <v>9</v>
      </c>
      <c r="H133">
        <f t="shared" ca="1" si="51"/>
        <v>0</v>
      </c>
      <c r="I133" t="e">
        <f t="shared" ca="1" si="52"/>
        <v>#VALUE!</v>
      </c>
      <c r="J133">
        <f t="shared" ca="1" si="59"/>
        <v>0</v>
      </c>
      <c r="K133">
        <f ca="1">IF(OR($C133="S",$C133=0),0,MATCH(OFFSET($D133,0,$C133)+IF($C133&lt;&gt;1,1,COUNTIF([1]QCI!$A$13:$A$24,ORÇAMENTO!E133)),OFFSET($D133,1,$C133,ROW($C$145)-ROW($C133)),0))</f>
        <v>0</v>
      </c>
      <c r="L133" s="42" t="e">
        <f t="shared" ca="1" si="53"/>
        <v>#VALUE!</v>
      </c>
      <c r="M133" s="43" t="s">
        <v>7</v>
      </c>
      <c r="N133" s="44" t="str">
        <f t="shared" ca="1" si="54"/>
        <v>Serviço</v>
      </c>
      <c r="O133" s="45" t="e">
        <f t="shared" ca="1" si="55"/>
        <v>#VALUE!</v>
      </c>
      <c r="P133" s="46" t="s">
        <v>62</v>
      </c>
      <c r="Q133" s="47" t="s">
        <v>136</v>
      </c>
      <c r="R133" s="48" t="s">
        <v>137</v>
      </c>
      <c r="S133" s="49" t="s">
        <v>78</v>
      </c>
      <c r="T133" s="50" t="e">
        <f ca="1">OFFSET([1]CÁLCULO!H$15,ROW($T133)-ROW(T$15),0)</f>
        <v>#VALUE!</v>
      </c>
      <c r="U133" s="51" t="e">
        <f ca="1">AG133</f>
        <v>#VALUE!</v>
      </c>
      <c r="V133" s="52" t="s">
        <v>10</v>
      </c>
      <c r="W133" s="50" t="e">
        <f ca="1">IF($C133="S",ROUND(IF(TIPOORCAMENTO="Proposto",ORÇAMENTO.CustoUnitario*(1+$AH133),ORÇAMENTO.PrecoUnitarioLicitado),15-13*$AF$10),0)</f>
        <v>#VALUE!</v>
      </c>
      <c r="X133" s="53" t="e">
        <f t="shared" ca="1" si="42"/>
        <v>#VALUE!</v>
      </c>
      <c r="Y133" s="54" t="s">
        <v>63</v>
      </c>
      <c r="Z133" t="e">
        <f t="shared" ca="1" si="56"/>
        <v>#VALUE!</v>
      </c>
      <c r="AA133" s="55" t="e">
        <f ca="1">IF($C133="S",IF($Z133="CP",$X133,IF($Z133="RA",(($X133)*[1]QCI!$AA$3),0)),SomaAgrup)</f>
        <v>#VALUE!</v>
      </c>
      <c r="AB133" s="56" t="e">
        <f t="shared" ca="1" si="43"/>
        <v>#VALUE!</v>
      </c>
      <c r="AC133" s="57" t="e">
        <f ca="1">IF($N133="","",IF(ORÇAMENTO.Descricao="","DESCRIÇÃO",IF(AND($C133="S",ORÇAMENTO.Unidade=""),"UNIDADE",IF($X133&lt;0,"VALOR NEGATIVO",IF(OR(AND(TIPOORCAMENTO="Proposto",$AG133&lt;&gt;"",$AG133&gt;0,ORÇAMENTO.CustoUnitario&gt;$AG133),AND(TIPOORCAMENTO="LICITADO",ORÇAMENTO.PrecoUnitarioLicitado&gt;$AN133)),"ACIMA REF.","")))))</f>
        <v>#VALUE!</v>
      </c>
      <c r="AD133" t="str">
        <f ca="1">IF(C133&lt;=CRONO.NivelExibicao,MAX($AD$15:OFFSET(AD133,-1,0))+IF($C133&lt;&gt;1,1,MAX(1,COUNTIF([1]QCI!$A$13:$A$24,OFFSET($E133,-1,0)))),"")</f>
        <v/>
      </c>
      <c r="AE133" s="4" t="str">
        <f ca="1">IF(AND($C133="S",ORÇAMENTO.CodBarra&lt;&gt;""),IF(ORÇAMENTO.Fonte="",ORÇAMENTO.CodBarra,CONCATENATE(ORÇAMENTO.Fonte," ",ORÇAMENTO.CodBarra)))</f>
        <v>SINAPI 94971</v>
      </c>
      <c r="AF133" s="58" t="e">
        <f ca="1">IF(ISERROR(INDIRECT(ORÇAMENTO.BancoRef)),"(abra o arquivo 'Referência "&amp;Excel_BuiltIn_Database&amp;".xls)",IF(OR($C133&lt;&gt;"S",ORÇAMENTO.CodBarra=""),"(Sem Código)",IF(ISERROR(MATCH($AE133,INDIRECT(ORÇAMENTO.BancoRef),0)),"(Código não identificado nas referências)",MATCH($AE133,INDIRECT(ORÇAMENTO.BancoRef),0))))</f>
        <v>#VALUE!</v>
      </c>
      <c r="AG133" s="59" t="e">
        <f ca="1">ROUND(IF(DESONERACAO="sim",REFERENCIA.Desonerado,REFERENCIA.NaoDesonerado),2)</f>
        <v>#VALUE!</v>
      </c>
      <c r="AH133" s="60">
        <f t="shared" si="44"/>
        <v>0.2223</v>
      </c>
      <c r="AJ133" s="61">
        <f>463.94*0.06</f>
        <v>27.836399999999998</v>
      </c>
      <c r="AL133" s="62"/>
      <c r="AM133" s="63" t="e">
        <f t="shared" ca="1" si="0"/>
        <v>#VALUE!</v>
      </c>
      <c r="AN133" s="64" t="e">
        <f t="shared" ca="1" si="45"/>
        <v>#VALUE!</v>
      </c>
    </row>
    <row r="134" spans="1:40" x14ac:dyDescent="0.2">
      <c r="A134" t="str">
        <f t="shared" si="41"/>
        <v>S</v>
      </c>
      <c r="B134">
        <f t="shared" ca="1" si="46"/>
        <v>3</v>
      </c>
      <c r="C134" t="str">
        <f t="shared" ca="1" si="47"/>
        <v>S</v>
      </c>
      <c r="D134">
        <f t="shared" ca="1" si="48"/>
        <v>0</v>
      </c>
      <c r="E134" t="e">
        <f ca="1">IF($C134=1,OFFSET(E134,-1,0)+MAX(1,COUNTIF([1]QCI!$A$13:$A$24,OFFSET(ORÇAMENTO!E134,-1,0))),OFFSET(E134,-1,0))</f>
        <v>#VALUE!</v>
      </c>
      <c r="F134">
        <f t="shared" ca="1" si="49"/>
        <v>2</v>
      </c>
      <c r="G134">
        <f t="shared" ca="1" si="50"/>
        <v>9</v>
      </c>
      <c r="H134">
        <f t="shared" ca="1" si="51"/>
        <v>0</v>
      </c>
      <c r="I134" t="e">
        <f t="shared" ca="1" si="52"/>
        <v>#VALUE!</v>
      </c>
      <c r="J134">
        <f t="shared" ca="1" si="59"/>
        <v>0</v>
      </c>
      <c r="K134">
        <f ca="1">IF(OR($C134="S",$C134=0),0,MATCH(OFFSET($D134,0,$C134)+IF($C134&lt;&gt;1,1,COUNTIF([1]QCI!$A$13:$A$24,ORÇAMENTO!E134)),OFFSET($D134,1,$C134,ROW($C$145)-ROW($C134)),0))</f>
        <v>0</v>
      </c>
      <c r="L134" s="42" t="e">
        <f t="shared" ca="1" si="53"/>
        <v>#VALUE!</v>
      </c>
      <c r="M134" s="43" t="s">
        <v>7</v>
      </c>
      <c r="N134" s="44" t="str">
        <f t="shared" ca="1" si="54"/>
        <v>Serviço</v>
      </c>
      <c r="O134" s="45" t="e">
        <f t="shared" ca="1" si="55"/>
        <v>#VALUE!</v>
      </c>
      <c r="P134" s="46" t="s">
        <v>62</v>
      </c>
      <c r="Q134" s="47" t="s">
        <v>215</v>
      </c>
      <c r="R134" s="48" t="s">
        <v>216</v>
      </c>
      <c r="S134" s="49" t="s">
        <v>75</v>
      </c>
      <c r="T134" s="50" t="e">
        <f ca="1">OFFSET([1]CÁLCULO!H$15,ROW($T134)-ROW(T$15),0)</f>
        <v>#VALUE!</v>
      </c>
      <c r="U134" s="51">
        <v>8.01</v>
      </c>
      <c r="V134" s="52" t="s">
        <v>10</v>
      </c>
      <c r="W134" s="50">
        <f ca="1">IF($C134="S",ROUND(IF(TIPOORCAMENTO="Proposto",ORÇAMENTO.CustoUnitario*(1+$AH134),ORÇAMENTO.PrecoUnitarioLicitado),15-13*$AF$10),0)</f>
        <v>9.7906230000000001</v>
      </c>
      <c r="X134" s="53" t="e">
        <f t="shared" ca="1" si="42"/>
        <v>#VALUE!</v>
      </c>
      <c r="Y134" s="54" t="s">
        <v>63</v>
      </c>
      <c r="Z134" t="e">
        <f t="shared" ca="1" si="56"/>
        <v>#VALUE!</v>
      </c>
      <c r="AA134" s="55" t="e">
        <f ca="1">IF($C134="S",IF($Z134="CP",$X134,IF($Z134="RA",(($X134)*[1]QCI!$AA$3),0)),SomaAgrup)</f>
        <v>#VALUE!</v>
      </c>
      <c r="AB134" s="56" t="e">
        <f t="shared" ca="1" si="43"/>
        <v>#VALUE!</v>
      </c>
      <c r="AC134" s="57" t="e">
        <f ca="1">IF($N134="","",IF(ORÇAMENTO.Descricao="","DESCRIÇÃO",IF(AND($C134="S",ORÇAMENTO.Unidade=""),"UNIDADE",IF($X134&lt;0,"VALOR NEGATIVO",IF(OR(AND(TIPOORCAMENTO="Proposto",$AG134&lt;&gt;"",$AG134&gt;0,ORÇAMENTO.CustoUnitario&gt;$AG134),AND(TIPOORCAMENTO="LICITADO",ORÇAMENTO.PrecoUnitarioLicitado&gt;$AN134)),"ACIMA REF.","")))))</f>
        <v>#VALUE!</v>
      </c>
      <c r="AD134" t="str">
        <f ca="1">IF(C134&lt;=CRONO.NivelExibicao,MAX($AD$15:OFFSET(AD134,-1,0))+IF($C134&lt;&gt;1,1,MAX(1,COUNTIF([1]QCI!$A$13:$A$24,OFFSET($E134,-1,0)))),"")</f>
        <v/>
      </c>
      <c r="AE134" s="4" t="str">
        <f ca="1">IF(AND($C134="S",ORÇAMENTO.CodBarra&lt;&gt;""),IF(ORÇAMENTO.Fonte="",ORÇAMENTO.CodBarra,CONCATENATE(ORÇAMENTO.Fonte," ",ORÇAMENTO.CodBarra)))</f>
        <v>SINAPI AUX0200</v>
      </c>
      <c r="AF134" s="58" t="e">
        <f ca="1">IF(ISERROR(INDIRECT(ORÇAMENTO.BancoRef)),"(abra o arquivo 'Referência "&amp;Excel_BuiltIn_Database&amp;".xls)",IF(OR($C134&lt;&gt;"S",ORÇAMENTO.CodBarra=""),"(Sem Código)",IF(ISERROR(MATCH($AE134,INDIRECT(ORÇAMENTO.BancoRef),0)),"(Código não identificado nas referências)",MATCH($AE134,INDIRECT(ORÇAMENTO.BancoRef),0))))</f>
        <v>#VALUE!</v>
      </c>
      <c r="AG134" s="59" t="e">
        <f ca="1">ROUND(IF(DESONERACAO="sim",REFERENCIA.Desonerado,REFERENCIA.NaoDesonerado),2)</f>
        <v>#VALUE!</v>
      </c>
      <c r="AH134" s="60">
        <f t="shared" si="44"/>
        <v>0.2223</v>
      </c>
      <c r="AJ134" s="61">
        <v>463.94</v>
      </c>
      <c r="AL134" s="62"/>
      <c r="AM134" s="63" t="e">
        <f t="shared" ca="1" si="0"/>
        <v>#VALUE!</v>
      </c>
      <c r="AN134" s="64">
        <f t="shared" si="45"/>
        <v>9.7899999999999991</v>
      </c>
    </row>
    <row r="135" spans="1:40" x14ac:dyDescent="0.2">
      <c r="A135">
        <f t="shared" si="41"/>
        <v>3</v>
      </c>
      <c r="B135">
        <f t="shared" ca="1" si="46"/>
        <v>3</v>
      </c>
      <c r="C135">
        <f t="shared" ca="1" si="47"/>
        <v>3</v>
      </c>
      <c r="D135">
        <f t="shared" ca="1" si="48"/>
        <v>4</v>
      </c>
      <c r="E135" t="e">
        <f ca="1">IF($C135=1,OFFSET(E135,-1,0)+MAX(1,COUNTIF([1]QCI!$A$13:$A$24,OFFSET(ORÇAMENTO!E135,-1,0))),OFFSET(E135,-1,0))</f>
        <v>#VALUE!</v>
      </c>
      <c r="F135">
        <f t="shared" ca="1" si="49"/>
        <v>2</v>
      </c>
      <c r="G135">
        <f t="shared" ca="1" si="50"/>
        <v>10</v>
      </c>
      <c r="H135">
        <f t="shared" ca="1" si="51"/>
        <v>0</v>
      </c>
      <c r="I135">
        <f t="shared" ca="1" si="52"/>
        <v>0</v>
      </c>
      <c r="J135">
        <f t="shared" ca="1" si="59"/>
        <v>10</v>
      </c>
      <c r="K135">
        <f ca="1">IF(OR($C135="S",$C135=0),0,MATCH(OFFSET($D135,0,$C135)+IF($C135&lt;&gt;1,1,COUNTIF([1]QCI!$A$13:$A$24,ORÇAMENTO!E135)),OFFSET($D135,1,$C135,ROW($C$145)-ROW($C135)),0))</f>
        <v>4</v>
      </c>
      <c r="L135" s="42" t="e">
        <f t="shared" ca="1" si="53"/>
        <v>#VALUE!</v>
      </c>
      <c r="M135" s="43" t="s">
        <v>5</v>
      </c>
      <c r="N135" s="44" t="str">
        <f t="shared" ca="1" si="54"/>
        <v>Nível 3</v>
      </c>
      <c r="O135" s="45" t="e">
        <f t="shared" ca="1" si="55"/>
        <v>#VALUE!</v>
      </c>
      <c r="P135" s="46" t="s">
        <v>62</v>
      </c>
      <c r="Q135" s="47"/>
      <c r="R135" s="48" t="s">
        <v>217</v>
      </c>
      <c r="S135" s="49" t="s">
        <v>67</v>
      </c>
      <c r="T135" s="50" t="e">
        <f ca="1">OFFSET([1]CÁLCULO!H$15,ROW($T135)-ROW(T$15),0)</f>
        <v>#VALUE!</v>
      </c>
      <c r="U135" s="51"/>
      <c r="V135" s="52" t="s">
        <v>10</v>
      </c>
      <c r="W135" s="50">
        <f ca="1">IF($C135="S",ROUND(IF(TIPOORCAMENTO="Proposto",ORÇAMENTO.CustoUnitario*(1+$AH135),ORÇAMENTO.PrecoUnitarioLicitado),15-13*$AF$10),0)</f>
        <v>0</v>
      </c>
      <c r="X135" s="53" t="e">
        <f t="shared" ca="1" si="42"/>
        <v>#VALUE!</v>
      </c>
      <c r="Y135" s="54" t="s">
        <v>63</v>
      </c>
      <c r="Z135" t="e">
        <f t="shared" ca="1" si="56"/>
        <v>#VALUE!</v>
      </c>
      <c r="AA135" s="55" t="e">
        <f ca="1">IF($C135="S",IF($Z135="CP",$X135,IF($Z135="RA",(($X135)*[1]QCI!$AA$3),0)),SomaAgrup)</f>
        <v>#VALUE!</v>
      </c>
      <c r="AB135" s="56" t="e">
        <f t="shared" ca="1" si="43"/>
        <v>#VALUE!</v>
      </c>
      <c r="AC135" s="57" t="e">
        <f ca="1">IF($N135="","",IF(ORÇAMENTO.Descricao="","DESCRIÇÃO",IF(AND($C135="S",ORÇAMENTO.Unidade=""),"UNIDADE",IF($X135&lt;0,"VALOR NEGATIVO",IF(OR(AND(TIPOORCAMENTO="Proposto",$AG135&lt;&gt;"",$AG135&gt;0,ORÇAMENTO.CustoUnitario&gt;$AG135),AND(TIPOORCAMENTO="LICITADO",ORÇAMENTO.PrecoUnitarioLicitado&gt;$AN135)),"ACIMA REF.","")))))</f>
        <v>#VALUE!</v>
      </c>
      <c r="AD135" t="e">
        <f ca="1">IF(C135&lt;=CRONO.NivelExibicao,MAX($AD$15:OFFSET(AD135,-1,0))+IF($C135&lt;&gt;1,1,MAX(1,COUNTIF([1]QCI!$A$13:$A$24,OFFSET($E135,-1,0)))),"")</f>
        <v>#VALUE!</v>
      </c>
      <c r="AE135" s="4" t="b">
        <f ca="1">IF(AND($C135="S",ORÇAMENTO.CodBarra&lt;&gt;""),IF(ORÇAMENTO.Fonte="",ORÇAMENTO.CodBarra,CONCATENATE(ORÇAMENTO.Fonte," ",ORÇAMENTO.CodBarra)))</f>
        <v>0</v>
      </c>
      <c r="AF135" s="58" t="e">
        <f ca="1">IF(ISERROR(INDIRECT(ORÇAMENTO.BancoRef)),"(abra o arquivo 'Referência "&amp;Excel_BuiltIn_Database&amp;".xls)",IF(OR($C135&lt;&gt;"S",ORÇAMENTO.CodBarra=""),"(Sem Código)",IF(ISERROR(MATCH($AE135,INDIRECT(ORÇAMENTO.BancoRef),0)),"(Código não identificado nas referências)",MATCH($AE135,INDIRECT(ORÇAMENTO.BancoRef),0))))</f>
        <v>#VALUE!</v>
      </c>
      <c r="AG135" s="59" t="e">
        <f ca="1">ROUND(IF(DESONERACAO="sim",REFERENCIA.Desonerado,REFERENCIA.NaoDesonerado),2)</f>
        <v>#VALUE!</v>
      </c>
      <c r="AH135" s="60">
        <f t="shared" si="44"/>
        <v>0.2223</v>
      </c>
      <c r="AJ135" s="61"/>
      <c r="AL135" s="62"/>
      <c r="AM135" s="63" t="e">
        <f t="shared" ca="1" si="0"/>
        <v>#VALUE!</v>
      </c>
      <c r="AN135" s="64">
        <f t="shared" si="45"/>
        <v>0</v>
      </c>
    </row>
    <row r="136" spans="1:40" ht="89.25" x14ac:dyDescent="0.2">
      <c r="A136" t="str">
        <f t="shared" si="41"/>
        <v>S</v>
      </c>
      <c r="B136">
        <f t="shared" ca="1" si="46"/>
        <v>3</v>
      </c>
      <c r="C136" t="str">
        <f t="shared" ca="1" si="47"/>
        <v>S</v>
      </c>
      <c r="D136">
        <f t="shared" ca="1" si="48"/>
        <v>0</v>
      </c>
      <c r="E136" t="e">
        <f ca="1">IF($C136=1,OFFSET(E136,-1,0)+MAX(1,COUNTIF([1]QCI!$A$13:$A$24,OFFSET(ORÇAMENTO!E136,-1,0))),OFFSET(E136,-1,0))</f>
        <v>#VALUE!</v>
      </c>
      <c r="F136">
        <f t="shared" ca="1" si="49"/>
        <v>2</v>
      </c>
      <c r="G136">
        <f t="shared" ca="1" si="50"/>
        <v>10</v>
      </c>
      <c r="H136">
        <f t="shared" ca="1" si="51"/>
        <v>0</v>
      </c>
      <c r="I136" t="e">
        <f t="shared" ca="1" si="52"/>
        <v>#VALUE!</v>
      </c>
      <c r="J136">
        <f t="shared" ca="1" si="59"/>
        <v>0</v>
      </c>
      <c r="K136">
        <f ca="1">IF(OR($C136="S",$C136=0),0,MATCH(OFFSET($D136,0,$C136)+IF($C136&lt;&gt;1,1,COUNTIF([1]QCI!$A$13:$A$24,ORÇAMENTO!E136)),OFFSET($D136,1,$C136,ROW($C$145)-ROW($C136)),0))</f>
        <v>0</v>
      </c>
      <c r="L136" s="42" t="e">
        <f t="shared" ca="1" si="53"/>
        <v>#VALUE!</v>
      </c>
      <c r="M136" s="43" t="s">
        <v>7</v>
      </c>
      <c r="N136" s="44" t="str">
        <f t="shared" ca="1" si="54"/>
        <v>Serviço</v>
      </c>
      <c r="O136" s="45" t="e">
        <f t="shared" ca="1" si="55"/>
        <v>#VALUE!</v>
      </c>
      <c r="P136" s="46" t="s">
        <v>62</v>
      </c>
      <c r="Q136" s="47" t="s">
        <v>94</v>
      </c>
      <c r="R136" s="48" t="s">
        <v>218</v>
      </c>
      <c r="S136" s="49" t="s">
        <v>96</v>
      </c>
      <c r="T136" s="50" t="e">
        <f ca="1">OFFSET([1]CÁLCULO!H$15,ROW($T136)-ROW(T$15),0)</f>
        <v>#VALUE!</v>
      </c>
      <c r="U136" s="51">
        <v>75770.460000000006</v>
      </c>
      <c r="V136" s="52" t="s">
        <v>10</v>
      </c>
      <c r="W136" s="50">
        <f ca="1">IF($C136="S",ROUND(IF(TIPOORCAMENTO="Proposto",ORÇAMENTO.CustoUnitario*(1+$AH136),ORÇAMENTO.PrecoUnitarioLicitado),15-13*$AF$10),0)</f>
        <v>92614.233257999993</v>
      </c>
      <c r="X136" s="53" t="e">
        <f t="shared" ca="1" si="42"/>
        <v>#VALUE!</v>
      </c>
      <c r="Y136" s="54" t="s">
        <v>63</v>
      </c>
      <c r="Z136" t="e">
        <f t="shared" ca="1" si="56"/>
        <v>#VALUE!</v>
      </c>
      <c r="AA136" s="55" t="e">
        <f ca="1">IF($C136="S",IF($Z136="CP",$X136,IF($Z136="RA",(($X136)*[1]QCI!$AA$3),0)),SomaAgrup)</f>
        <v>#VALUE!</v>
      </c>
      <c r="AB136" s="56" t="e">
        <f t="shared" ca="1" si="43"/>
        <v>#VALUE!</v>
      </c>
      <c r="AC136" s="57" t="e">
        <f ca="1">IF($N136="","",IF(ORÇAMENTO.Descricao="","DESCRIÇÃO",IF(AND($C136="S",ORÇAMENTO.Unidade=""),"UNIDADE",IF($X136&lt;0,"VALOR NEGATIVO",IF(OR(AND(TIPOORCAMENTO="Proposto",$AG136&lt;&gt;"",$AG136&gt;0,ORÇAMENTO.CustoUnitario&gt;$AG136),AND(TIPOORCAMENTO="LICITADO",ORÇAMENTO.PrecoUnitarioLicitado&gt;$AN136)),"ACIMA REF.","")))))</f>
        <v>#VALUE!</v>
      </c>
      <c r="AD136" t="str">
        <f ca="1">IF(C136&lt;=CRONO.NivelExibicao,MAX($AD$15:OFFSET(AD136,-1,0))+IF($C136&lt;&gt;1,1,MAX(1,COUNTIF([1]QCI!$A$13:$A$24,OFFSET($E136,-1,0)))),"")</f>
        <v/>
      </c>
      <c r="AE136" s="4" t="str">
        <f ca="1">IF(AND($C136="S",ORÇAMENTO.CodBarra&lt;&gt;""),IF(ORÇAMENTO.Fonte="",ORÇAMENTO.CodBarra,CONCATENATE(ORÇAMENTO.Fonte," ",ORÇAMENTO.CodBarra)))</f>
        <v xml:space="preserve">SINAPI COTAÇÃO </v>
      </c>
      <c r="AF136" s="58" t="e">
        <f ca="1">IF(ISERROR(INDIRECT(ORÇAMENTO.BancoRef)),"(abra o arquivo 'Referência "&amp;Excel_BuiltIn_Database&amp;".xls)",IF(OR($C136&lt;&gt;"S",ORÇAMENTO.CodBarra=""),"(Sem Código)",IF(ISERROR(MATCH($AE136,INDIRECT(ORÇAMENTO.BancoRef),0)),"(Código não identificado nas referências)",MATCH($AE136,INDIRECT(ORÇAMENTO.BancoRef),0))))</f>
        <v>#VALUE!</v>
      </c>
      <c r="AG136" s="59" t="e">
        <f ca="1">ROUND(IF(DESONERACAO="sim",REFERENCIA.Desonerado,REFERENCIA.NaoDesonerado),2)</f>
        <v>#VALUE!</v>
      </c>
      <c r="AH136" s="60">
        <f t="shared" si="44"/>
        <v>0.2223</v>
      </c>
      <c r="AJ136" s="61">
        <v>1</v>
      </c>
      <c r="AL136" s="62"/>
      <c r="AM136" s="63" t="e">
        <f t="shared" ca="1" si="0"/>
        <v>#VALUE!</v>
      </c>
      <c r="AN136" s="64">
        <f t="shared" si="45"/>
        <v>92614.23</v>
      </c>
    </row>
    <row r="137" spans="1:40" ht="25.5" x14ac:dyDescent="0.2">
      <c r="A137" t="str">
        <f t="shared" si="41"/>
        <v>S</v>
      </c>
      <c r="B137">
        <f t="shared" ca="1" si="46"/>
        <v>3</v>
      </c>
      <c r="C137" t="str">
        <f t="shared" ca="1" si="47"/>
        <v>S</v>
      </c>
      <c r="D137">
        <f t="shared" ca="1" si="48"/>
        <v>0</v>
      </c>
      <c r="E137" t="e">
        <f ca="1">IF($C137=1,OFFSET(E137,-1,0)+MAX(1,COUNTIF([1]QCI!$A$13:$A$24,OFFSET(ORÇAMENTO!E137,-1,0))),OFFSET(E137,-1,0))</f>
        <v>#VALUE!</v>
      </c>
      <c r="F137">
        <f t="shared" ca="1" si="49"/>
        <v>2</v>
      </c>
      <c r="G137">
        <f t="shared" ca="1" si="50"/>
        <v>10</v>
      </c>
      <c r="H137">
        <f t="shared" ca="1" si="51"/>
        <v>0</v>
      </c>
      <c r="I137" t="e">
        <f t="shared" ca="1" si="52"/>
        <v>#VALUE!</v>
      </c>
      <c r="J137">
        <f t="shared" ca="1" si="59"/>
        <v>0</v>
      </c>
      <c r="K137">
        <f ca="1">IF(OR($C137="S",$C137=0),0,MATCH(OFFSET($D137,0,$C137)+IF($C137&lt;&gt;1,1,COUNTIF([1]QCI!$A$13:$A$24,ORÇAMENTO!E137)),OFFSET($D137,1,$C137,ROW($C$145)-ROW($C137)),0))</f>
        <v>0</v>
      </c>
      <c r="L137" s="42" t="e">
        <f t="shared" ca="1" si="53"/>
        <v>#VALUE!</v>
      </c>
      <c r="M137" s="43" t="s">
        <v>7</v>
      </c>
      <c r="N137" s="44" t="str">
        <f t="shared" ca="1" si="54"/>
        <v>Serviço</v>
      </c>
      <c r="O137" s="45" t="e">
        <f t="shared" ca="1" si="55"/>
        <v>#VALUE!</v>
      </c>
      <c r="P137" s="46" t="s">
        <v>62</v>
      </c>
      <c r="Q137" s="47" t="s">
        <v>219</v>
      </c>
      <c r="R137" s="48" t="s">
        <v>220</v>
      </c>
      <c r="S137" s="49" t="s">
        <v>75</v>
      </c>
      <c r="T137" s="50" t="e">
        <f ca="1">OFFSET([1]CÁLCULO!H$15,ROW($T137)-ROW(T$15),0)</f>
        <v>#VALUE!</v>
      </c>
      <c r="U137" s="51" t="e">
        <f ca="1">AG137</f>
        <v>#VALUE!</v>
      </c>
      <c r="V137" s="52" t="s">
        <v>10</v>
      </c>
      <c r="W137" s="50" t="e">
        <f ca="1">IF($C137="S",ROUND(IF(TIPOORCAMENTO="Proposto",ORÇAMENTO.CustoUnitario*(1+$AH137),ORÇAMENTO.PrecoUnitarioLicitado),15-13*$AF$10),0)</f>
        <v>#VALUE!</v>
      </c>
      <c r="X137" s="53" t="e">
        <f t="shared" ca="1" si="42"/>
        <v>#VALUE!</v>
      </c>
      <c r="Y137" s="54" t="s">
        <v>63</v>
      </c>
      <c r="Z137" t="e">
        <f t="shared" ca="1" si="56"/>
        <v>#VALUE!</v>
      </c>
      <c r="AA137" s="55" t="e">
        <f ca="1">IF($C137="S",IF($Z137="CP",$X137,IF($Z137="RA",(($X137)*[1]QCI!$AA$3),0)),SomaAgrup)</f>
        <v>#VALUE!</v>
      </c>
      <c r="AB137" s="56" t="e">
        <f t="shared" ca="1" si="43"/>
        <v>#VALUE!</v>
      </c>
      <c r="AC137" s="57" t="e">
        <f ca="1">IF($N137="","",IF(ORÇAMENTO.Descricao="","DESCRIÇÃO",IF(AND($C137="S",ORÇAMENTO.Unidade=""),"UNIDADE",IF($X137&lt;0,"VALOR NEGATIVO",IF(OR(AND(TIPOORCAMENTO="Proposto",$AG137&lt;&gt;"",$AG137&gt;0,ORÇAMENTO.CustoUnitario&gt;$AG137),AND(TIPOORCAMENTO="LICITADO",ORÇAMENTO.PrecoUnitarioLicitado&gt;$AN137)),"ACIMA REF.","")))))</f>
        <v>#VALUE!</v>
      </c>
      <c r="AD137" t="str">
        <f ca="1">IF(C137&lt;=CRONO.NivelExibicao,MAX($AD$15:OFFSET(AD137,-1,0))+IF($C137&lt;&gt;1,1,MAX(1,COUNTIF([1]QCI!$A$13:$A$24,OFFSET($E137,-1,0)))),"")</f>
        <v/>
      </c>
      <c r="AE137" s="4" t="str">
        <f ca="1">IF(AND($C137="S",ORÇAMENTO.CodBarra&lt;&gt;""),IF(ORÇAMENTO.Fonte="",ORÇAMENTO.CodBarra,CONCATENATE(ORÇAMENTO.Fonte," ",ORÇAMENTO.CodBarra)))</f>
        <v>SINAPI 94213</v>
      </c>
      <c r="AF137" s="58" t="e">
        <f ca="1">IF(ISERROR(INDIRECT(ORÇAMENTO.BancoRef)),"(abra o arquivo 'Referência "&amp;Excel_BuiltIn_Database&amp;".xls)",IF(OR($C137&lt;&gt;"S",ORÇAMENTO.CodBarra=""),"(Sem Código)",IF(ISERROR(MATCH($AE137,INDIRECT(ORÇAMENTO.BancoRef),0)),"(Código não identificado nas referências)",MATCH($AE137,INDIRECT(ORÇAMENTO.BancoRef),0))))</f>
        <v>#VALUE!</v>
      </c>
      <c r="AG137" s="59" t="e">
        <f ca="1">ROUND(IF(DESONERACAO="sim",REFERENCIA.Desonerado,REFERENCIA.NaoDesonerado),2)</f>
        <v>#VALUE!</v>
      </c>
      <c r="AH137" s="60">
        <f t="shared" si="44"/>
        <v>0.2223</v>
      </c>
      <c r="AJ137" s="61">
        <v>35.21</v>
      </c>
      <c r="AL137" s="62"/>
      <c r="AM137" s="63" t="e">
        <f t="shared" ca="1" si="0"/>
        <v>#VALUE!</v>
      </c>
      <c r="AN137" s="64" t="e">
        <f t="shared" ca="1" si="45"/>
        <v>#VALUE!</v>
      </c>
    </row>
    <row r="138" spans="1:40" ht="38.25" x14ac:dyDescent="0.2">
      <c r="A138" t="str">
        <f t="shared" ref="A138:A144" si="78">CHOOSE(1+LOG(1+2*(ORÇAMENTO.Nivel="Meta")+4*(ORÇAMENTO.Nivel="Nível 2")+8*(ORÇAMENTO.Nivel="Nível 3")+16*(ORÇAMENTO.Nivel="Nível 4")+32*(ORÇAMENTO.Nivel="Serviço"),2),0,1,2,3,4,"S")</f>
        <v>S</v>
      </c>
      <c r="B138">
        <f ca="1">IF(OR(C138="s",C138=0),OFFSET(B138,-1,0),C138)</f>
        <v>3</v>
      </c>
      <c r="C138" t="str">
        <f ca="1">IF(OFFSET(C138,-1,0)="L",1,IF(OFFSET(C138,-1,0)=1,2,IF(OR(A138="s",A138=0),"S",IF(AND(OFFSET(C138,-1,0)=2,A138=4),3,IF(AND(OR(OFFSET(C138,-1,0)="s",OFFSET(C138,-1,0)=0),A138&lt;&gt;"s",A138&gt;OFFSET(B138,-1,0)),OFFSET(B138,-1,0),A138)))))</f>
        <v>S</v>
      </c>
      <c r="D138">
        <f ca="1">IF(OR(C138="S",C138=0),0,IF(ISERROR(K138),J138,SMALL(J138:K138,1)))</f>
        <v>0</v>
      </c>
      <c r="E138" t="e">
        <f ca="1">IF($C138=1,OFFSET(E138,-1,0)+MAX(1,COUNTIF([1]QCI!$A$13:$A$24,OFFSET(ORÇAMENTO!E138,-1,0))),OFFSET(E138,-1,0))</f>
        <v>#VALUE!</v>
      </c>
      <c r="F138">
        <f ca="1">IF($C138=1,0,IF($C138=2,OFFSET(F138,-1,0)+1,OFFSET(F138,-1,0)))</f>
        <v>2</v>
      </c>
      <c r="G138">
        <f ca="1">IF(AND($C138&lt;=2,$C138&lt;&gt;0),0,IF($C138=3,OFFSET(G138,-1,0)+1,OFFSET(G138,-1,0)))</f>
        <v>10</v>
      </c>
      <c r="H138">
        <f ca="1">IF(AND($C138&lt;=3,$C138&lt;&gt;0),0,IF($C138=4,OFFSET(H138,-1,0)+1,OFFSET(H138,-1,0)))</f>
        <v>0</v>
      </c>
      <c r="I138" t="e">
        <f ca="1">IF(AND($C138&lt;=4,$C138&lt;&gt;0),0,IF(AND($C138="S",$X138&gt;0),OFFSET(I138,-1,0)+1,OFFSET(I138,-1,0)))</f>
        <v>#VALUE!</v>
      </c>
      <c r="J138">
        <f t="shared" ca="1" si="59"/>
        <v>0</v>
      </c>
      <c r="K138">
        <f ca="1">IF(OR($C138="S",$C138=0),0,MATCH(OFFSET($D138,0,$C138)+IF($C138&lt;&gt;1,1,COUNTIF([1]QCI!$A$13:$A$24,ORÇAMENTO!E138)),OFFSET($D138,1,$C138,ROW($C$145)-ROW($C138)),0))</f>
        <v>0</v>
      </c>
      <c r="L138" s="42" t="e">
        <f ca="1">IF(OR($X138&gt;0,$C138=1,$C138=2,$C138=3,$C138=4),"F","")</f>
        <v>#VALUE!</v>
      </c>
      <c r="M138" s="43" t="s">
        <v>7</v>
      </c>
      <c r="N138" s="44" t="str">
        <f ca="1">CHOOSE(1+LOG(1+2*(C138=1)+4*(C138=2)+8*(C138=3)+16*(C138=4)+32*(C138="S"),2),"","Meta","Nível 2","Nível 3","Nível 4","Serviço")</f>
        <v>Serviço</v>
      </c>
      <c r="O138" s="45" t="e">
        <f ca="1">IF(OR($C138=0,$L138=""),"-",CONCATENATE(E138&amp;".",IF(AND($A$5&gt;=2,$C138&gt;=2),F138&amp;".",""),IF(AND($A$5&gt;=3,$C138&gt;=3),G138&amp;".",""),IF(AND($A$5&gt;=4,$C138&gt;=4),H138&amp;".",""),IF($C138="S",I138&amp;".","")))</f>
        <v>#VALUE!</v>
      </c>
      <c r="P138" s="46" t="s">
        <v>62</v>
      </c>
      <c r="Q138" s="47" t="s">
        <v>221</v>
      </c>
      <c r="R138" s="48" t="s">
        <v>222</v>
      </c>
      <c r="S138" s="49" t="s">
        <v>167</v>
      </c>
      <c r="T138" s="50" t="e">
        <f ca="1">OFFSET([1]CÁLCULO!H$15,ROW($T138)-ROW(T$15),0)</f>
        <v>#VALUE!</v>
      </c>
      <c r="U138" s="51" t="e">
        <f ca="1">AG138</f>
        <v>#VALUE!</v>
      </c>
      <c r="V138" s="52" t="s">
        <v>10</v>
      </c>
      <c r="W138" s="50" t="e">
        <f ca="1">IF($C138="S",ROUND(IF(TIPOORCAMENTO="Proposto",ORÇAMENTO.CustoUnitario*(1+$AH138),ORÇAMENTO.PrecoUnitarioLicitado),15-13*$AF$10),0)</f>
        <v>#VALUE!</v>
      </c>
      <c r="X138" s="53" t="e">
        <f t="shared" ref="X138:X144" ca="1" si="79">IF($C138="S",VTOTAL1,IF($C138=0,0,ROUND(SomaAgrup,15-13*$AF$11)))</f>
        <v>#VALUE!</v>
      </c>
      <c r="Y138" s="54" t="s">
        <v>63</v>
      </c>
      <c r="Z138" t="e">
        <f ca="1">IF(AND($C138="S",$X138&gt;0),IF(ISBLANK($Y138),"RA",LEFT($Y138,2)),"")</f>
        <v>#VALUE!</v>
      </c>
      <c r="AA138" s="55" t="e">
        <f ca="1">IF($C138="S",IF($Z138="CP",$X138,IF($Z138="RA",(($X138)*[1]QCI!$AA$3),0)),SomaAgrup)</f>
        <v>#VALUE!</v>
      </c>
      <c r="AB138" s="56" t="e">
        <f t="shared" ref="AB138:AB144" ca="1" si="80">IF($C138="S",IF($Z138="OU",ROUND($X138,2),0),SomaAgrup)</f>
        <v>#VALUE!</v>
      </c>
      <c r="AC138" s="57" t="e">
        <f ca="1">IF($N138="","",IF(ORÇAMENTO.Descricao="","DESCRIÇÃO",IF(AND($C138="S",ORÇAMENTO.Unidade=""),"UNIDADE",IF($X138&lt;0,"VALOR NEGATIVO",IF(OR(AND(TIPOORCAMENTO="Proposto",$AG138&lt;&gt;"",$AG138&gt;0,ORÇAMENTO.CustoUnitario&gt;$AG138),AND(TIPOORCAMENTO="LICITADO",ORÇAMENTO.PrecoUnitarioLicitado&gt;$AN138)),"ACIMA REF.","")))))</f>
        <v>#VALUE!</v>
      </c>
      <c r="AD138" t="str">
        <f ca="1">IF(C138&lt;=CRONO.NivelExibicao,MAX($AD$15:OFFSET(AD138,-1,0))+IF($C138&lt;&gt;1,1,MAX(1,COUNTIF([1]QCI!$A$13:$A$24,OFFSET($E138,-1,0)))),"")</f>
        <v/>
      </c>
      <c r="AE138" s="4" t="str">
        <f ca="1">IF(AND($C138="S",ORÇAMENTO.CodBarra&lt;&gt;""),IF(ORÇAMENTO.Fonte="",ORÇAMENTO.CodBarra,CONCATENATE(ORÇAMENTO.Fonte," ",ORÇAMENTO.CodBarra)))</f>
        <v>SINAPI 94227</v>
      </c>
      <c r="AF138" s="58" t="e">
        <f ca="1">IF(ISERROR(INDIRECT(ORÇAMENTO.BancoRef)),"(abra o arquivo 'Referência "&amp;Excel_BuiltIn_Database&amp;".xls)",IF(OR($C138&lt;&gt;"S",ORÇAMENTO.CodBarra=""),"(Sem Código)",IF(ISERROR(MATCH($AE138,INDIRECT(ORÇAMENTO.BancoRef),0)),"(Código não identificado nas referências)",MATCH($AE138,INDIRECT(ORÇAMENTO.BancoRef),0))))</f>
        <v>#VALUE!</v>
      </c>
      <c r="AG138" s="59" t="e">
        <f ca="1">ROUND(IF(DESONERACAO="sim",REFERENCIA.Desonerado,REFERENCIA.NaoDesonerado),2)</f>
        <v>#VALUE!</v>
      </c>
      <c r="AH138" s="60">
        <f t="shared" ref="AH138:AH144" si="81">ROUND(IF(ISNUMBER(ORÇAMENTO.OpcaoBDI),ORÇAMENTO.OpcaoBDI,IF(LEFT(ORÇAMENTO.OpcaoBDI,3)="BDI",HLOOKUP(ORÇAMENTO.OpcaoBDI,$F$4:$H$5,2,FALSE),0)),15-11*$AF$9)</f>
        <v>0.2223</v>
      </c>
      <c r="AJ138" s="61">
        <v>18.86</v>
      </c>
      <c r="AL138" s="62"/>
      <c r="AM138" s="63" t="e">
        <f t="shared" ca="1" si="0"/>
        <v>#VALUE!</v>
      </c>
      <c r="AN138" s="64" t="e">
        <f t="shared" ref="AN138:AN144" ca="1" si="82">ROUND(ORÇAMENTO.CustoUnitario*(1+$AH138),2)</f>
        <v>#VALUE!</v>
      </c>
    </row>
    <row r="139" spans="1:40" x14ac:dyDescent="0.2">
      <c r="A139">
        <f t="shared" si="78"/>
        <v>3</v>
      </c>
      <c r="B139">
        <f t="shared" ref="B139:B144" ca="1" si="83">IF(OR(C139="s",C139=0),OFFSET(B139,-1,0),C139)</f>
        <v>3</v>
      </c>
      <c r="C139">
        <f t="shared" ref="C139:C144" ca="1" si="84">IF(OFFSET(C139,-1,0)="L",1,IF(OFFSET(C139,-1,0)=1,2,IF(OR(A139="s",A139=0),"S",IF(AND(OFFSET(C139,-1,0)=2,A139=4),3,IF(AND(OR(OFFSET(C139,-1,0)="s",OFFSET(C139,-1,0)=0),A139&lt;&gt;"s",A139&gt;OFFSET(B139,-1,0)),OFFSET(B139,-1,0),A139)))))</f>
        <v>3</v>
      </c>
      <c r="D139">
        <f t="shared" ref="D139:D144" ca="1" si="85">IF(OR(C139="S",C139=0),0,IF(ISERROR(K139),J139,SMALL(J139:K139,1)))</f>
        <v>3</v>
      </c>
      <c r="E139" t="e">
        <f ca="1">IF($C139=1,OFFSET(E139,-1,0)+MAX(1,COUNTIF([1]QCI!$A$13:$A$24,OFFSET(ORÇAMENTO!E139,-1,0))),OFFSET(E139,-1,0))</f>
        <v>#VALUE!</v>
      </c>
      <c r="F139">
        <f t="shared" ref="F139:F144" ca="1" si="86">IF($C139=1,0,IF($C139=2,OFFSET(F139,-1,0)+1,OFFSET(F139,-1,0)))</f>
        <v>2</v>
      </c>
      <c r="G139">
        <f t="shared" ref="G139:G144" ca="1" si="87">IF(AND($C139&lt;=2,$C139&lt;&gt;0),0,IF($C139=3,OFFSET(G139,-1,0)+1,OFFSET(G139,-1,0)))</f>
        <v>11</v>
      </c>
      <c r="H139">
        <f t="shared" ref="H139:H144" ca="1" si="88">IF(AND($C139&lt;=3,$C139&lt;&gt;0),0,IF($C139=4,OFFSET(H139,-1,0)+1,OFFSET(H139,-1,0)))</f>
        <v>0</v>
      </c>
      <c r="I139">
        <f t="shared" ref="I139:I144" ca="1" si="89">IF(AND($C139&lt;=4,$C139&lt;&gt;0),0,IF(AND($C139="S",$X139&gt;0),OFFSET(I139,-1,0)+1,OFFSET(I139,-1,0)))</f>
        <v>0</v>
      </c>
      <c r="J139">
        <f t="shared" ca="1" si="59"/>
        <v>6</v>
      </c>
      <c r="K139">
        <f ca="1">IF(OR($C139="S",$C139=0),0,MATCH(OFFSET($D139,0,$C139)+IF($C139&lt;&gt;1,1,COUNTIF([1]QCI!$A$13:$A$24,ORÇAMENTO!E139)),OFFSET($D139,1,$C139,ROW($C$145)-ROW($C139)),0))</f>
        <v>3</v>
      </c>
      <c r="L139" s="42" t="e">
        <f t="shared" ref="L139:L144" ca="1" si="90">IF(OR($X139&gt;0,$C139=1,$C139=2,$C139=3,$C139=4),"F","")</f>
        <v>#VALUE!</v>
      </c>
      <c r="M139" s="43" t="s">
        <v>5</v>
      </c>
      <c r="N139" s="44" t="str">
        <f t="shared" ref="N139:N144" ca="1" si="91">CHOOSE(1+LOG(1+2*(C139=1)+4*(C139=2)+8*(C139=3)+16*(C139=4)+32*(C139="S"),2),"","Meta","Nível 2","Nível 3","Nível 4","Serviço")</f>
        <v>Nível 3</v>
      </c>
      <c r="O139" s="45" t="e">
        <f t="shared" ref="O139:O144" ca="1" si="92">IF(OR($C139=0,$L139=""),"-",CONCATENATE(E139&amp;".",IF(AND($A$5&gt;=2,$C139&gt;=2),F139&amp;".",""),IF(AND($A$5&gt;=3,$C139&gt;=3),G139&amp;".",""),IF(AND($A$5&gt;=4,$C139&gt;=4),H139&amp;".",""),IF($C139="S",I139&amp;".","")))</f>
        <v>#VALUE!</v>
      </c>
      <c r="P139" s="46" t="s">
        <v>62</v>
      </c>
      <c r="Q139" s="47"/>
      <c r="R139" s="48" t="s">
        <v>100</v>
      </c>
      <c r="S139" s="49" t="s">
        <v>67</v>
      </c>
      <c r="T139" s="50" t="e">
        <f ca="1">OFFSET([1]CÁLCULO!H$15,ROW($T139)-ROW(T$15),0)</f>
        <v>#VALUE!</v>
      </c>
      <c r="U139" s="51"/>
      <c r="V139" s="52" t="s">
        <v>10</v>
      </c>
      <c r="W139" s="50">
        <f ca="1">IF($C139="S",ROUND(IF(TIPOORCAMENTO="Proposto",ORÇAMENTO.CustoUnitario*(1+$AH139),ORÇAMENTO.PrecoUnitarioLicitado),15-13*$AF$10),0)</f>
        <v>0</v>
      </c>
      <c r="X139" s="53" t="e">
        <f t="shared" ca="1" si="79"/>
        <v>#VALUE!</v>
      </c>
      <c r="Y139" s="54" t="s">
        <v>63</v>
      </c>
      <c r="Z139" t="e">
        <f t="shared" ref="Z139:Z144" ca="1" si="93">IF(AND($C139="S",$X139&gt;0),IF(ISBLANK($Y139),"RA",LEFT($Y139,2)),"")</f>
        <v>#VALUE!</v>
      </c>
      <c r="AA139" s="55" t="e">
        <f ca="1">IF($C139="S",IF($Z139="CP",$X139,IF($Z139="RA",(($X139)*[1]QCI!$AA$3),0)),SomaAgrup)</f>
        <v>#VALUE!</v>
      </c>
      <c r="AB139" s="56" t="e">
        <f t="shared" ca="1" si="80"/>
        <v>#VALUE!</v>
      </c>
      <c r="AC139" s="57" t="e">
        <f ca="1">IF($N139="","",IF(ORÇAMENTO.Descricao="","DESCRIÇÃO",IF(AND($C139="S",ORÇAMENTO.Unidade=""),"UNIDADE",IF($X139&lt;0,"VALOR NEGATIVO",IF(OR(AND(TIPOORCAMENTO="Proposto",$AG139&lt;&gt;"",$AG139&gt;0,ORÇAMENTO.CustoUnitario&gt;$AG139),AND(TIPOORCAMENTO="LICITADO",ORÇAMENTO.PrecoUnitarioLicitado&gt;$AN139)),"ACIMA REF.","")))))</f>
        <v>#VALUE!</v>
      </c>
      <c r="AD139" t="e">
        <f ca="1">IF(C139&lt;=CRONO.NivelExibicao,MAX($AD$15:OFFSET(AD139,-1,0))+IF($C139&lt;&gt;1,1,MAX(1,COUNTIF([1]QCI!$A$13:$A$24,OFFSET($E139,-1,0)))),"")</f>
        <v>#VALUE!</v>
      </c>
      <c r="AE139" s="4" t="b">
        <f ca="1">IF(AND($C139="S",ORÇAMENTO.CodBarra&lt;&gt;""),IF(ORÇAMENTO.Fonte="",ORÇAMENTO.CodBarra,CONCATENATE(ORÇAMENTO.Fonte," ",ORÇAMENTO.CodBarra)))</f>
        <v>0</v>
      </c>
      <c r="AF139" s="58" t="e">
        <f ca="1">IF(ISERROR(INDIRECT(ORÇAMENTO.BancoRef)),"(abra o arquivo 'Referência "&amp;Excel_BuiltIn_Database&amp;".xls)",IF(OR($C139&lt;&gt;"S",ORÇAMENTO.CodBarra=""),"(Sem Código)",IF(ISERROR(MATCH($AE139,INDIRECT(ORÇAMENTO.BancoRef),0)),"(Código não identificado nas referências)",MATCH($AE139,INDIRECT(ORÇAMENTO.BancoRef),0))))</f>
        <v>#VALUE!</v>
      </c>
      <c r="AG139" s="59" t="e">
        <f ca="1">ROUND(IF(DESONERACAO="sim",REFERENCIA.Desonerado,REFERENCIA.NaoDesonerado),2)</f>
        <v>#VALUE!</v>
      </c>
      <c r="AH139" s="60">
        <f t="shared" si="81"/>
        <v>0.2223</v>
      </c>
      <c r="AJ139" s="61"/>
      <c r="AL139" s="62"/>
      <c r="AM139" s="63" t="e">
        <f t="shared" ca="1" si="0"/>
        <v>#VALUE!</v>
      </c>
      <c r="AN139" s="64">
        <f t="shared" si="82"/>
        <v>0</v>
      </c>
    </row>
    <row r="140" spans="1:40" ht="38.25" x14ac:dyDescent="0.2">
      <c r="A140" t="str">
        <f t="shared" si="78"/>
        <v>S</v>
      </c>
      <c r="B140">
        <f t="shared" ca="1" si="83"/>
        <v>3</v>
      </c>
      <c r="C140" t="str">
        <f t="shared" ca="1" si="84"/>
        <v>S</v>
      </c>
      <c r="D140">
        <f t="shared" ca="1" si="85"/>
        <v>0</v>
      </c>
      <c r="E140" t="e">
        <f ca="1">IF($C140=1,OFFSET(E140,-1,0)+MAX(1,COUNTIF([1]QCI!$A$13:$A$24,OFFSET(ORÇAMENTO!E140,-1,0))),OFFSET(E140,-1,0))</f>
        <v>#VALUE!</v>
      </c>
      <c r="F140">
        <f t="shared" ca="1" si="86"/>
        <v>2</v>
      </c>
      <c r="G140">
        <f t="shared" ca="1" si="87"/>
        <v>11</v>
      </c>
      <c r="H140">
        <f t="shared" ca="1" si="88"/>
        <v>0</v>
      </c>
      <c r="I140" t="e">
        <f t="shared" ca="1" si="89"/>
        <v>#VALUE!</v>
      </c>
      <c r="J140">
        <f t="shared" ca="1" si="59"/>
        <v>0</v>
      </c>
      <c r="K140">
        <f ca="1">IF(OR($C140="S",$C140=0),0,MATCH(OFFSET($D140,0,$C140)+IF($C140&lt;&gt;1,1,COUNTIF([1]QCI!$A$13:$A$24,ORÇAMENTO!E140)),OFFSET($D140,1,$C140,ROW($C$145)-ROW($C140)),0))</f>
        <v>0</v>
      </c>
      <c r="L140" s="42" t="e">
        <f t="shared" ca="1" si="90"/>
        <v>#VALUE!</v>
      </c>
      <c r="M140" s="43" t="s">
        <v>7</v>
      </c>
      <c r="N140" s="44" t="str">
        <f t="shared" ca="1" si="91"/>
        <v>Serviço</v>
      </c>
      <c r="O140" s="45" t="e">
        <f t="shared" ca="1" si="92"/>
        <v>#VALUE!</v>
      </c>
      <c r="P140" s="46" t="s">
        <v>62</v>
      </c>
      <c r="Q140" s="47">
        <v>87878</v>
      </c>
      <c r="R140" s="48" t="s">
        <v>101</v>
      </c>
      <c r="S140" s="49" t="s">
        <v>75</v>
      </c>
      <c r="T140" s="50" t="e">
        <f ca="1">OFFSET([1]CÁLCULO!H$15,ROW($T140)-ROW(T$15),0)</f>
        <v>#VALUE!</v>
      </c>
      <c r="U140" s="51" t="e">
        <f ca="1">AG140</f>
        <v>#VALUE!</v>
      </c>
      <c r="V140" s="52" t="s">
        <v>10</v>
      </c>
      <c r="W140" s="50" t="e">
        <f ca="1">IF($C140="S",ROUND(IF(TIPOORCAMENTO="Proposto",ORÇAMENTO.CustoUnitario*(1+$AH140),ORÇAMENTO.PrecoUnitarioLicitado),15-13*$AF$10),0)</f>
        <v>#VALUE!</v>
      </c>
      <c r="X140" s="53" t="e">
        <f t="shared" ca="1" si="79"/>
        <v>#VALUE!</v>
      </c>
      <c r="Y140" s="54" t="s">
        <v>63</v>
      </c>
      <c r="Z140" t="e">
        <f t="shared" ca="1" si="93"/>
        <v>#VALUE!</v>
      </c>
      <c r="AA140" s="55" t="e">
        <f ca="1">IF($C140="S",IF($Z140="CP",$X140,IF($Z140="RA",(($X140)*[1]QCI!$AA$3),0)),SomaAgrup)</f>
        <v>#VALUE!</v>
      </c>
      <c r="AB140" s="56" t="e">
        <f t="shared" ca="1" si="80"/>
        <v>#VALUE!</v>
      </c>
      <c r="AC140" s="57" t="e">
        <f ca="1">IF($N140="","",IF(ORÇAMENTO.Descricao="","DESCRIÇÃO",IF(AND($C140="S",ORÇAMENTO.Unidade=""),"UNIDADE",IF($X140&lt;0,"VALOR NEGATIVO",IF(OR(AND(TIPOORCAMENTO="Proposto",$AG140&lt;&gt;"",$AG140&gt;0,ORÇAMENTO.CustoUnitario&gt;$AG140),AND(TIPOORCAMENTO="LICITADO",ORÇAMENTO.PrecoUnitarioLicitado&gt;$AN140)),"ACIMA REF.","")))))</f>
        <v>#VALUE!</v>
      </c>
      <c r="AD140" t="str">
        <f ca="1">IF(C140&lt;=CRONO.NivelExibicao,MAX($AD$15:OFFSET(AD140,-1,0))+IF($C140&lt;&gt;1,1,MAX(1,COUNTIF([1]QCI!$A$13:$A$24,OFFSET($E140,-1,0)))),"")</f>
        <v/>
      </c>
      <c r="AE140" s="4" t="str">
        <f ca="1">IF(AND($C140="S",ORÇAMENTO.CodBarra&lt;&gt;""),IF(ORÇAMENTO.Fonte="",ORÇAMENTO.CodBarra,CONCATENATE(ORÇAMENTO.Fonte," ",ORÇAMENTO.CodBarra)))</f>
        <v>SINAPI 87878</v>
      </c>
      <c r="AF140" s="58" t="e">
        <f ca="1">IF(ISERROR(INDIRECT(ORÇAMENTO.BancoRef)),"(abra o arquivo 'Referência "&amp;Excel_BuiltIn_Database&amp;".xls)",IF(OR($C140&lt;&gt;"S",ORÇAMENTO.CodBarra=""),"(Sem Código)",IF(ISERROR(MATCH($AE140,INDIRECT(ORÇAMENTO.BancoRef),0)),"(Código não identificado nas referências)",MATCH($AE140,INDIRECT(ORÇAMENTO.BancoRef),0))))</f>
        <v>#VALUE!</v>
      </c>
      <c r="AG140" s="59" t="e">
        <f ca="1">ROUND(IF(DESONERACAO="sim",REFERENCIA.Desonerado,REFERENCIA.NaoDesonerado),2)</f>
        <v>#VALUE!</v>
      </c>
      <c r="AH140" s="60">
        <f t="shared" si="81"/>
        <v>0.2223</v>
      </c>
      <c r="AJ140" s="61">
        <v>37.19</v>
      </c>
      <c r="AL140" s="62"/>
      <c r="AM140" s="63" t="e">
        <f t="shared" ref="AM140:AM144" ca="1" si="94">$X140</f>
        <v>#VALUE!</v>
      </c>
      <c r="AN140" s="64" t="e">
        <f t="shared" ca="1" si="82"/>
        <v>#VALUE!</v>
      </c>
    </row>
    <row r="141" spans="1:40" ht="51" x14ac:dyDescent="0.2">
      <c r="A141" t="str">
        <f t="shared" si="78"/>
        <v>S</v>
      </c>
      <c r="B141">
        <f t="shared" ca="1" si="83"/>
        <v>3</v>
      </c>
      <c r="C141" t="str">
        <f t="shared" ca="1" si="84"/>
        <v>S</v>
      </c>
      <c r="D141">
        <f t="shared" ca="1" si="85"/>
        <v>0</v>
      </c>
      <c r="E141" t="e">
        <f ca="1">IF($C141=1,OFFSET(E141,-1,0)+MAX(1,COUNTIF([1]QCI!$A$13:$A$24,OFFSET(ORÇAMENTO!E141,-1,0))),OFFSET(E141,-1,0))</f>
        <v>#VALUE!</v>
      </c>
      <c r="F141">
        <f t="shared" ca="1" si="86"/>
        <v>2</v>
      </c>
      <c r="G141">
        <f t="shared" ca="1" si="87"/>
        <v>11</v>
      </c>
      <c r="H141">
        <f t="shared" ca="1" si="88"/>
        <v>0</v>
      </c>
      <c r="I141" t="e">
        <f t="shared" ca="1" si="89"/>
        <v>#VALUE!</v>
      </c>
      <c r="J141">
        <f t="shared" ca="1" si="59"/>
        <v>0</v>
      </c>
      <c r="K141">
        <f ca="1">IF(OR($C141="S",$C141=0),0,MATCH(OFFSET($D141,0,$C141)+IF($C141&lt;&gt;1,1,COUNTIF([1]QCI!$A$13:$A$24,ORÇAMENTO!E141)),OFFSET($D141,1,$C141,ROW($C$145)-ROW($C141)),0))</f>
        <v>0</v>
      </c>
      <c r="L141" s="42" t="e">
        <f t="shared" ca="1" si="90"/>
        <v>#VALUE!</v>
      </c>
      <c r="M141" s="43" t="s">
        <v>7</v>
      </c>
      <c r="N141" s="44" t="str">
        <f t="shared" ca="1" si="91"/>
        <v>Serviço</v>
      </c>
      <c r="O141" s="45" t="e">
        <f t="shared" ca="1" si="92"/>
        <v>#VALUE!</v>
      </c>
      <c r="P141" s="46" t="s">
        <v>62</v>
      </c>
      <c r="Q141" s="47">
        <v>87529</v>
      </c>
      <c r="R141" s="48" t="s">
        <v>102</v>
      </c>
      <c r="S141" s="49" t="s">
        <v>75</v>
      </c>
      <c r="T141" s="50" t="e">
        <f ca="1">OFFSET([1]CÁLCULO!H$15,ROW($T141)-ROW(T$15),0)</f>
        <v>#VALUE!</v>
      </c>
      <c r="U141" s="51" t="e">
        <f ca="1">AG141</f>
        <v>#VALUE!</v>
      </c>
      <c r="V141" s="52" t="s">
        <v>10</v>
      </c>
      <c r="W141" s="50" t="e">
        <f ca="1">IF($C141="S",ROUND(IF(TIPOORCAMENTO="Proposto",ORÇAMENTO.CustoUnitario*(1+$AH141),ORÇAMENTO.PrecoUnitarioLicitado),15-13*$AF$10),0)</f>
        <v>#VALUE!</v>
      </c>
      <c r="X141" s="53" t="e">
        <f t="shared" ca="1" si="79"/>
        <v>#VALUE!</v>
      </c>
      <c r="Y141" s="54" t="s">
        <v>63</v>
      </c>
      <c r="Z141" t="e">
        <f t="shared" ca="1" si="93"/>
        <v>#VALUE!</v>
      </c>
      <c r="AA141" s="55" t="e">
        <f ca="1">IF($C141="S",IF($Z141="CP",$X141,IF($Z141="RA",(($X141)*[1]QCI!$AA$3),0)),SomaAgrup)</f>
        <v>#VALUE!</v>
      </c>
      <c r="AB141" s="56" t="e">
        <f t="shared" ca="1" si="80"/>
        <v>#VALUE!</v>
      </c>
      <c r="AC141" s="57" t="e">
        <f ca="1">IF($N141="","",IF(ORÇAMENTO.Descricao="","DESCRIÇÃO",IF(AND($C141="S",ORÇAMENTO.Unidade=""),"UNIDADE",IF($X141&lt;0,"VALOR NEGATIVO",IF(OR(AND(TIPOORCAMENTO="Proposto",$AG141&lt;&gt;"",$AG141&gt;0,ORÇAMENTO.CustoUnitario&gt;$AG141),AND(TIPOORCAMENTO="LICITADO",ORÇAMENTO.PrecoUnitarioLicitado&gt;$AN141)),"ACIMA REF.","")))))</f>
        <v>#VALUE!</v>
      </c>
      <c r="AD141" t="str">
        <f ca="1">IF(C141&lt;=CRONO.NivelExibicao,MAX($AD$15:OFFSET(AD141,-1,0))+IF($C141&lt;&gt;1,1,MAX(1,COUNTIF([1]QCI!$A$13:$A$24,OFFSET($E141,-1,0)))),"")</f>
        <v/>
      </c>
      <c r="AE141" s="4" t="str">
        <f ca="1">IF(AND($C141="S",ORÇAMENTO.CodBarra&lt;&gt;""),IF(ORÇAMENTO.Fonte="",ORÇAMENTO.CodBarra,CONCATENATE(ORÇAMENTO.Fonte," ",ORÇAMENTO.CodBarra)))</f>
        <v>SINAPI 87529</v>
      </c>
      <c r="AF141" s="58" t="e">
        <f ca="1">IF(ISERROR(INDIRECT(ORÇAMENTO.BancoRef)),"(abra o arquivo 'Referência "&amp;Excel_BuiltIn_Database&amp;".xls)",IF(OR($C141&lt;&gt;"S",ORÇAMENTO.CodBarra=""),"(Sem Código)",IF(ISERROR(MATCH($AE141,INDIRECT(ORÇAMENTO.BancoRef),0)),"(Código não identificado nas referências)",MATCH($AE141,INDIRECT(ORÇAMENTO.BancoRef),0))))</f>
        <v>#VALUE!</v>
      </c>
      <c r="AG141" s="59" t="e">
        <f ca="1">ROUND(IF(DESONERACAO="sim",REFERENCIA.Desonerado,REFERENCIA.NaoDesonerado),2)</f>
        <v>#VALUE!</v>
      </c>
      <c r="AH141" s="60">
        <f t="shared" si="81"/>
        <v>0.2223</v>
      </c>
      <c r="AJ141" s="61">
        <v>37.19</v>
      </c>
      <c r="AL141" s="62"/>
      <c r="AM141" s="63" t="e">
        <f t="shared" ca="1" si="94"/>
        <v>#VALUE!</v>
      </c>
      <c r="AN141" s="64" t="e">
        <f t="shared" ca="1" si="82"/>
        <v>#VALUE!</v>
      </c>
    </row>
    <row r="142" spans="1:40" x14ac:dyDescent="0.2">
      <c r="A142">
        <f t="shared" si="78"/>
        <v>3</v>
      </c>
      <c r="B142">
        <f t="shared" ca="1" si="83"/>
        <v>3</v>
      </c>
      <c r="C142">
        <f t="shared" ca="1" si="84"/>
        <v>3</v>
      </c>
      <c r="D142">
        <f t="shared" ca="1" si="85"/>
        <v>3</v>
      </c>
      <c r="E142" t="e">
        <f ca="1">IF($C142=1,OFFSET(E142,-1,0)+MAX(1,COUNTIF([1]QCI!$A$13:$A$24,OFFSET(ORÇAMENTO!E142,-1,0))),OFFSET(E142,-1,0))</f>
        <v>#VALUE!</v>
      </c>
      <c r="F142">
        <f t="shared" ca="1" si="86"/>
        <v>2</v>
      </c>
      <c r="G142">
        <f t="shared" ca="1" si="87"/>
        <v>12</v>
      </c>
      <c r="H142">
        <f t="shared" ca="1" si="88"/>
        <v>0</v>
      </c>
      <c r="I142">
        <f t="shared" ca="1" si="89"/>
        <v>0</v>
      </c>
      <c r="J142">
        <f t="shared" ca="1" si="59"/>
        <v>3</v>
      </c>
      <c r="K142" t="e">
        <f ca="1">IF(OR($C142="S",$C142=0),0,MATCH(OFFSET($D142,0,$C142)+IF($C142&lt;&gt;1,1,COUNTIF([1]QCI!$A$13:$A$24,ORÇAMENTO!E142)),OFFSET($D142,1,$C142,ROW($C$145)-ROW($C142)),0))</f>
        <v>#N/A</v>
      </c>
      <c r="L142" s="42" t="e">
        <f t="shared" ca="1" si="90"/>
        <v>#VALUE!</v>
      </c>
      <c r="M142" s="43" t="s">
        <v>5</v>
      </c>
      <c r="N142" s="44" t="str">
        <f t="shared" ca="1" si="91"/>
        <v>Nível 3</v>
      </c>
      <c r="O142" s="45" t="e">
        <f t="shared" ca="1" si="92"/>
        <v>#VALUE!</v>
      </c>
      <c r="P142" s="46" t="s">
        <v>62</v>
      </c>
      <c r="Q142" s="47"/>
      <c r="R142" s="48" t="s">
        <v>112</v>
      </c>
      <c r="S142" s="49" t="s">
        <v>67</v>
      </c>
      <c r="T142" s="50" t="e">
        <f ca="1">OFFSET([1]CÁLCULO!H$15,ROW($T142)-ROW(T$15),0)</f>
        <v>#VALUE!</v>
      </c>
      <c r="U142" s="51"/>
      <c r="V142" s="52" t="s">
        <v>10</v>
      </c>
      <c r="W142" s="50">
        <f ca="1">IF($C142="S",ROUND(IF(TIPOORCAMENTO="Proposto",ORÇAMENTO.CustoUnitario*(1+$AH142),ORÇAMENTO.PrecoUnitarioLicitado),15-13*$AF$10),0)</f>
        <v>0</v>
      </c>
      <c r="X142" s="53" t="e">
        <f t="shared" ca="1" si="79"/>
        <v>#VALUE!</v>
      </c>
      <c r="Y142" s="54" t="s">
        <v>63</v>
      </c>
      <c r="Z142" t="e">
        <f t="shared" ca="1" si="93"/>
        <v>#VALUE!</v>
      </c>
      <c r="AA142" s="55" t="e">
        <f ca="1">IF($C142="S",IF($Z142="CP",$X142,IF($Z142="RA",(($X142)*[1]QCI!$AA$3),0)),SomaAgrup)</f>
        <v>#VALUE!</v>
      </c>
      <c r="AB142" s="56" t="e">
        <f t="shared" ca="1" si="80"/>
        <v>#VALUE!</v>
      </c>
      <c r="AC142" s="57" t="e">
        <f ca="1">IF($N142="","",IF(ORÇAMENTO.Descricao="","DESCRIÇÃO",IF(AND($C142="S",ORÇAMENTO.Unidade=""),"UNIDADE",IF($X142&lt;0,"VALOR NEGATIVO",IF(OR(AND(TIPOORCAMENTO="Proposto",$AG142&lt;&gt;"",$AG142&gt;0,ORÇAMENTO.CustoUnitario&gt;$AG142),AND(TIPOORCAMENTO="LICITADO",ORÇAMENTO.PrecoUnitarioLicitado&gt;$AN142)),"ACIMA REF.","")))))</f>
        <v>#VALUE!</v>
      </c>
      <c r="AD142" t="e">
        <f ca="1">IF(C142&lt;=CRONO.NivelExibicao,MAX($AD$15:OFFSET(AD142,-1,0))+IF($C142&lt;&gt;1,1,MAX(1,COUNTIF([1]QCI!$A$13:$A$24,OFFSET($E142,-1,0)))),"")</f>
        <v>#VALUE!</v>
      </c>
      <c r="AE142" s="4" t="b">
        <f ca="1">IF(AND($C142="S",ORÇAMENTO.CodBarra&lt;&gt;""),IF(ORÇAMENTO.Fonte="",ORÇAMENTO.CodBarra,CONCATENATE(ORÇAMENTO.Fonte," ",ORÇAMENTO.CodBarra)))</f>
        <v>0</v>
      </c>
      <c r="AF142" s="58" t="e">
        <f ca="1">IF(ISERROR(INDIRECT(ORÇAMENTO.BancoRef)),"(abra o arquivo 'Referência "&amp;Excel_BuiltIn_Database&amp;".xls)",IF(OR($C142&lt;&gt;"S",ORÇAMENTO.CodBarra=""),"(Sem Código)",IF(ISERROR(MATCH($AE142,INDIRECT(ORÇAMENTO.BancoRef),0)),"(Código não identificado nas referências)",MATCH($AE142,INDIRECT(ORÇAMENTO.BancoRef),0))))</f>
        <v>#VALUE!</v>
      </c>
      <c r="AG142" s="59" t="e">
        <f ca="1">ROUND(IF(DESONERACAO="sim",REFERENCIA.Desonerado,REFERENCIA.NaoDesonerado),2)</f>
        <v>#VALUE!</v>
      </c>
      <c r="AH142" s="60">
        <f t="shared" si="81"/>
        <v>0.2223</v>
      </c>
      <c r="AJ142" s="61"/>
      <c r="AL142" s="62"/>
      <c r="AM142" s="63" t="e">
        <f t="shared" ca="1" si="94"/>
        <v>#VALUE!</v>
      </c>
      <c r="AN142" s="64">
        <f t="shared" si="82"/>
        <v>0</v>
      </c>
    </row>
    <row r="143" spans="1:40" ht="25.5" x14ac:dyDescent="0.2">
      <c r="A143" t="str">
        <f t="shared" si="78"/>
        <v>S</v>
      </c>
      <c r="B143">
        <f t="shared" ca="1" si="83"/>
        <v>3</v>
      </c>
      <c r="C143" t="str">
        <f t="shared" ca="1" si="84"/>
        <v>S</v>
      </c>
      <c r="D143">
        <f t="shared" ca="1" si="85"/>
        <v>0</v>
      </c>
      <c r="E143" t="e">
        <f ca="1">IF($C143=1,OFFSET(E143,-1,0)+MAX(1,COUNTIF([1]QCI!$A$13:$A$24,OFFSET(ORÇAMENTO!E143,-1,0))),OFFSET(E143,-1,0))</f>
        <v>#VALUE!</v>
      </c>
      <c r="F143">
        <f t="shared" ca="1" si="86"/>
        <v>2</v>
      </c>
      <c r="G143">
        <f t="shared" ca="1" si="87"/>
        <v>12</v>
      </c>
      <c r="H143">
        <f t="shared" ca="1" si="88"/>
        <v>0</v>
      </c>
      <c r="I143" t="e">
        <f t="shared" ca="1" si="89"/>
        <v>#VALUE!</v>
      </c>
      <c r="J143">
        <f t="shared" ca="1" si="59"/>
        <v>0</v>
      </c>
      <c r="K143">
        <f ca="1">IF(OR($C143="S",$C143=0),0,MATCH(OFFSET($D143,0,$C143)+IF($C143&lt;&gt;1,1,COUNTIF([1]QCI!$A$13:$A$24,ORÇAMENTO!E143)),OFFSET($D143,1,$C143,ROW($C$145)-ROW($C143)),0))</f>
        <v>0</v>
      </c>
      <c r="L143" s="42" t="e">
        <f t="shared" ca="1" si="90"/>
        <v>#VALUE!</v>
      </c>
      <c r="M143" s="43" t="s">
        <v>7</v>
      </c>
      <c r="N143" s="44" t="str">
        <f t="shared" ca="1" si="91"/>
        <v>Serviço</v>
      </c>
      <c r="O143" s="45" t="e">
        <f t="shared" ca="1" si="92"/>
        <v>#VALUE!</v>
      </c>
      <c r="P143" s="46" t="s">
        <v>62</v>
      </c>
      <c r="Q143" s="47" t="s">
        <v>113</v>
      </c>
      <c r="R143" s="48" t="s">
        <v>114</v>
      </c>
      <c r="S143" s="49" t="s">
        <v>75</v>
      </c>
      <c r="T143" s="50" t="e">
        <f ca="1">OFFSET([1]CÁLCULO!H$15,ROW($T143)-ROW(T$15),0)</f>
        <v>#VALUE!</v>
      </c>
      <c r="U143" s="51" t="e">
        <f ca="1">AG143</f>
        <v>#VALUE!</v>
      </c>
      <c r="V143" s="52" t="s">
        <v>10</v>
      </c>
      <c r="W143" s="50" t="e">
        <f ca="1">IF($C143="S",ROUND(IF(TIPOORCAMENTO="Proposto",ORÇAMENTO.CustoUnitario*(1+$AH143),ORÇAMENTO.PrecoUnitarioLicitado),15-13*$AF$10),0)</f>
        <v>#VALUE!</v>
      </c>
      <c r="X143" s="53" t="e">
        <f t="shared" ca="1" si="79"/>
        <v>#VALUE!</v>
      </c>
      <c r="Y143" s="54" t="s">
        <v>63</v>
      </c>
      <c r="Z143" t="e">
        <f t="shared" ca="1" si="93"/>
        <v>#VALUE!</v>
      </c>
      <c r="AA143" s="55" t="e">
        <f ca="1">IF($C143="S",IF($Z143="CP",$X143,IF($Z143="RA",(($X143)*[1]QCI!$AA$3),0)),SomaAgrup)</f>
        <v>#VALUE!</v>
      </c>
      <c r="AB143" s="56" t="e">
        <f t="shared" ca="1" si="80"/>
        <v>#VALUE!</v>
      </c>
      <c r="AC143" s="57" t="e">
        <f ca="1">IF($N143="","",IF(ORÇAMENTO.Descricao="","DESCRIÇÃO",IF(AND($C143="S",ORÇAMENTO.Unidade=""),"UNIDADE",IF($X143&lt;0,"VALOR NEGATIVO",IF(OR(AND(TIPOORCAMENTO="Proposto",$AG143&lt;&gt;"",$AG143&gt;0,ORÇAMENTO.CustoUnitario&gt;$AG143),AND(TIPOORCAMENTO="LICITADO",ORÇAMENTO.PrecoUnitarioLicitado&gt;$AN143)),"ACIMA REF.","")))))</f>
        <v>#VALUE!</v>
      </c>
      <c r="AD143" t="str">
        <f ca="1">IF(C143&lt;=CRONO.NivelExibicao,MAX($AD$15:OFFSET(AD143,-1,0))+IF($C143&lt;&gt;1,1,MAX(1,COUNTIF([1]QCI!$A$13:$A$24,OFFSET($E143,-1,0)))),"")</f>
        <v/>
      </c>
      <c r="AE143" s="4" t="str">
        <f ca="1">IF(AND($C143="S",ORÇAMENTO.CodBarra&lt;&gt;""),IF(ORÇAMENTO.Fonte="",ORÇAMENTO.CodBarra,CONCATENATE(ORÇAMENTO.Fonte," ",ORÇAMENTO.CodBarra)))</f>
        <v>SINAPI 88489</v>
      </c>
      <c r="AF143" s="58" t="e">
        <f ca="1">IF(ISERROR(INDIRECT(ORÇAMENTO.BancoRef)),"(abra o arquivo 'Referência "&amp;Excel_BuiltIn_Database&amp;".xls)",IF(OR($C143&lt;&gt;"S",ORÇAMENTO.CodBarra=""),"(Sem Código)",IF(ISERROR(MATCH($AE143,INDIRECT(ORÇAMENTO.BancoRef),0)),"(Código não identificado nas referências)",MATCH($AE143,INDIRECT(ORÇAMENTO.BancoRef),0))))</f>
        <v>#VALUE!</v>
      </c>
      <c r="AG143" s="59" t="e">
        <f ca="1">ROUND(IF(DESONERACAO="sim",REFERENCIA.Desonerado,REFERENCIA.NaoDesonerado),2)</f>
        <v>#VALUE!</v>
      </c>
      <c r="AH143" s="60">
        <f t="shared" si="81"/>
        <v>0.2223</v>
      </c>
      <c r="AJ143" s="61">
        <v>37.19</v>
      </c>
      <c r="AL143" s="62"/>
      <c r="AM143" s="63" t="e">
        <f t="shared" ca="1" si="94"/>
        <v>#VALUE!</v>
      </c>
      <c r="AN143" s="64" t="e">
        <f t="shared" ca="1" si="82"/>
        <v>#VALUE!</v>
      </c>
    </row>
    <row r="144" spans="1:40" ht="25.5" x14ac:dyDescent="0.2">
      <c r="A144" t="str">
        <f t="shared" si="78"/>
        <v>S</v>
      </c>
      <c r="B144">
        <f t="shared" ca="1" si="83"/>
        <v>3</v>
      </c>
      <c r="C144" t="str">
        <f t="shared" ca="1" si="84"/>
        <v>S</v>
      </c>
      <c r="D144">
        <f t="shared" ca="1" si="85"/>
        <v>0</v>
      </c>
      <c r="E144" t="e">
        <f ca="1">IF($C144=1,OFFSET(E144,-1,0)+MAX(1,COUNTIF([1]QCI!$A$13:$A$24,OFFSET(ORÇAMENTO!E144,-1,0))),OFFSET(E144,-1,0))</f>
        <v>#VALUE!</v>
      </c>
      <c r="F144">
        <f t="shared" ca="1" si="86"/>
        <v>2</v>
      </c>
      <c r="G144">
        <f t="shared" ca="1" si="87"/>
        <v>12</v>
      </c>
      <c r="H144">
        <f t="shared" ca="1" si="88"/>
        <v>0</v>
      </c>
      <c r="I144" t="e">
        <f t="shared" ca="1" si="89"/>
        <v>#VALUE!</v>
      </c>
      <c r="J144">
        <f t="shared" ref="J144" ca="1" si="95">IF(OR($C144="S",$C144=0),0,MATCH(0,OFFSET($D144,1,$C144,ROW($C$145)-ROW($C144)),0))</f>
        <v>0</v>
      </c>
      <c r="K144">
        <f ca="1">IF(OR($C144="S",$C144=0),0,MATCH(OFFSET($D144,0,$C144)+IF($C144&lt;&gt;1,1,COUNTIF([1]QCI!$A$13:$A$24,ORÇAMENTO!E144)),OFFSET($D144,1,$C144,ROW($C$145)-ROW($C144)),0))</f>
        <v>0</v>
      </c>
      <c r="L144" s="42" t="e">
        <f t="shared" ca="1" si="90"/>
        <v>#VALUE!</v>
      </c>
      <c r="M144" s="43" t="s">
        <v>7</v>
      </c>
      <c r="N144" s="44" t="str">
        <f t="shared" ca="1" si="91"/>
        <v>Serviço</v>
      </c>
      <c r="O144" s="45" t="e">
        <f t="shared" ca="1" si="92"/>
        <v>#VALUE!</v>
      </c>
      <c r="P144" s="46" t="s">
        <v>62</v>
      </c>
      <c r="Q144" s="47" t="s">
        <v>115</v>
      </c>
      <c r="R144" s="48" t="s">
        <v>116</v>
      </c>
      <c r="S144" s="49" t="s">
        <v>75</v>
      </c>
      <c r="T144" s="50" t="e">
        <f ca="1">OFFSET([1]CÁLCULO!H$15,ROW($T144)-ROW(T$15),0)</f>
        <v>#VALUE!</v>
      </c>
      <c r="U144" s="51" t="e">
        <f ca="1">AG144</f>
        <v>#VALUE!</v>
      </c>
      <c r="V144" s="52" t="s">
        <v>10</v>
      </c>
      <c r="W144" s="50" t="e">
        <f ca="1">IF($C144="S",ROUND(IF(TIPOORCAMENTO="Proposto",ORÇAMENTO.CustoUnitario*(1+$AH144),ORÇAMENTO.PrecoUnitarioLicitado),15-13*$AF$10),0)</f>
        <v>#VALUE!</v>
      </c>
      <c r="X144" s="53" t="e">
        <f t="shared" ca="1" si="79"/>
        <v>#VALUE!</v>
      </c>
      <c r="Y144" s="54" t="s">
        <v>63</v>
      </c>
      <c r="Z144" t="e">
        <f t="shared" ca="1" si="93"/>
        <v>#VALUE!</v>
      </c>
      <c r="AA144" s="55" t="e">
        <f ca="1">IF($C144="S",IF($Z144="CP",$X144,IF($Z144="RA",(($X144)*[1]QCI!$AA$3),0)),SomaAgrup)</f>
        <v>#VALUE!</v>
      </c>
      <c r="AB144" s="56" t="e">
        <f t="shared" ca="1" si="80"/>
        <v>#VALUE!</v>
      </c>
      <c r="AC144" s="57" t="e">
        <f ca="1">IF($N144="","",IF(ORÇAMENTO.Descricao="","DESCRIÇÃO",IF(AND($C144="S",ORÇAMENTO.Unidade=""),"UNIDADE",IF($X144&lt;0,"VALOR NEGATIVO",IF(OR(AND(TIPOORCAMENTO="Proposto",$AG144&lt;&gt;"",$AG144&gt;0,ORÇAMENTO.CustoUnitario&gt;$AG144),AND(TIPOORCAMENTO="LICITADO",ORÇAMENTO.PrecoUnitarioLicitado&gt;$AN144)),"ACIMA REF.","")))))</f>
        <v>#VALUE!</v>
      </c>
      <c r="AD144" t="str">
        <f ca="1">IF(C144&lt;=CRONO.NivelExibicao,MAX($AD$15:OFFSET(AD144,-1,0))+IF($C144&lt;&gt;1,1,MAX(1,COUNTIF([1]QCI!$A$13:$A$24,OFFSET($E144,-1,0)))),"")</f>
        <v/>
      </c>
      <c r="AE144" s="4" t="str">
        <f ca="1">IF(AND($C144="S",ORÇAMENTO.CodBarra&lt;&gt;""),IF(ORÇAMENTO.Fonte="",ORÇAMENTO.CodBarra,CONCATENATE(ORÇAMENTO.Fonte," ",ORÇAMENTO.CodBarra)))</f>
        <v>SINAPI 102491</v>
      </c>
      <c r="AF144" s="58" t="e">
        <f ca="1">IF(ISERROR(INDIRECT(ORÇAMENTO.BancoRef)),"(abra o arquivo 'Referência "&amp;Excel_BuiltIn_Database&amp;".xls)",IF(OR($C144&lt;&gt;"S",ORÇAMENTO.CodBarra=""),"(Sem Código)",IF(ISERROR(MATCH($AE144,INDIRECT(ORÇAMENTO.BancoRef),0)),"(Código não identificado nas referências)",MATCH($AE144,INDIRECT(ORÇAMENTO.BancoRef),0))))</f>
        <v>#VALUE!</v>
      </c>
      <c r="AG144" s="59" t="e">
        <f ca="1">ROUND(IF(DESONERACAO="sim",REFERENCIA.Desonerado,REFERENCIA.NaoDesonerado),2)</f>
        <v>#VALUE!</v>
      </c>
      <c r="AH144" s="60">
        <f t="shared" si="81"/>
        <v>0.2223</v>
      </c>
      <c r="AJ144" s="61">
        <v>463.94</v>
      </c>
      <c r="AL144" s="62"/>
      <c r="AM144" s="63" t="e">
        <f t="shared" ca="1" si="94"/>
        <v>#VALUE!</v>
      </c>
      <c r="AN144" s="64" t="e">
        <f t="shared" ca="1" si="82"/>
        <v>#VALUE!</v>
      </c>
    </row>
    <row r="145" spans="1:40" ht="5.0999999999999996" customHeight="1" x14ac:dyDescent="0.2">
      <c r="A145">
        <v>-1</v>
      </c>
      <c r="C145">
        <v>-1</v>
      </c>
      <c r="E145">
        <v>0</v>
      </c>
      <c r="F145">
        <v>0</v>
      </c>
      <c r="G145">
        <v>0</v>
      </c>
      <c r="H145">
        <v>0</v>
      </c>
      <c r="I145">
        <v>0</v>
      </c>
      <c r="L145" s="42" t="s">
        <v>65</v>
      </c>
      <c r="M145" s="78"/>
      <c r="N145" s="79"/>
      <c r="O145" s="78"/>
      <c r="P145" s="80"/>
      <c r="Q145" s="80"/>
      <c r="R145" s="80"/>
      <c r="S145" s="80"/>
      <c r="T145" s="80"/>
      <c r="U145" s="80"/>
      <c r="V145" s="80"/>
      <c r="W145" s="80"/>
      <c r="X145" s="79"/>
      <c r="AG145" s="81"/>
      <c r="AH145" s="82"/>
      <c r="AJ145" s="83"/>
      <c r="AL145" s="81"/>
      <c r="AM145" s="84"/>
      <c r="AN145" s="82"/>
    </row>
    <row r="148" spans="1:40" ht="14.25" x14ac:dyDescent="0.2">
      <c r="O148" s="85" t="s">
        <v>223</v>
      </c>
      <c r="Q148" s="121" t="s">
        <v>224</v>
      </c>
      <c r="R148" s="121"/>
      <c r="S148" s="121"/>
      <c r="T148" s="121"/>
      <c r="U148" s="121"/>
      <c r="V148" s="121"/>
      <c r="W148" s="121"/>
      <c r="X148" s="121"/>
    </row>
    <row r="150" spans="1:40" ht="14.25" x14ac:dyDescent="0.2">
      <c r="O150" s="86" t="s">
        <v>225</v>
      </c>
      <c r="X150" s="87"/>
    </row>
    <row r="151" spans="1:40" ht="12.75" customHeight="1" x14ac:dyDescent="0.2"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</row>
    <row r="152" spans="1:40" x14ac:dyDescent="0.2"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</row>
    <row r="153" spans="1:40" x14ac:dyDescent="0.2"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</row>
    <row r="154" spans="1:40" ht="14.25" x14ac:dyDescent="0.2"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9"/>
      <c r="AA154" s="89"/>
      <c r="AB154" s="89"/>
    </row>
    <row r="155" spans="1:40" ht="15" x14ac:dyDescent="0.25">
      <c r="O155" s="123" t="str">
        <f>IF(AND($AF$7=FALSE,$AF$8=FALSE,$AF$9=FALSE,$AF$10=FALSE,$AF$11=FALSE),"Não foi considerado arredondamento nos valores da planilha.",CONCATENATE("Foi considerado arredondamento de duas casas decimais para ",IF($AF$7=TRUE,"Quantidade; ",""),IF($AF$8=TRUE,"Custo Unitário; ",""),IF($AF$9=TRUE,"BDI; ",""),IF($AF$10=TRUE,"Preço Unitário; ",""),IF($AF$11=TRUE,"Preço Total.","")))</f>
        <v>Não foi considerado arredondamento nos valores da planilha.</v>
      </c>
      <c r="P155" s="123"/>
      <c r="Q155" s="123"/>
      <c r="R155" s="123"/>
      <c r="S155" s="123"/>
      <c r="T155" s="123"/>
      <c r="U155" s="123"/>
      <c r="V155" s="123"/>
      <c r="W155" s="123"/>
      <c r="X155" s="123"/>
      <c r="Y155" s="90"/>
      <c r="Z155" s="90"/>
      <c r="AA155" s="90"/>
      <c r="AB155" s="90"/>
    </row>
    <row r="156" spans="1:40" ht="15" customHeight="1" x14ac:dyDescent="0.25">
      <c r="O156" s="124" t="s">
        <v>226</v>
      </c>
      <c r="P156" s="124"/>
      <c r="Q156" s="124"/>
      <c r="R156" s="124"/>
      <c r="S156" s="124"/>
      <c r="T156" s="124"/>
      <c r="U156" s="124"/>
      <c r="V156" s="124"/>
      <c r="W156" s="124"/>
      <c r="X156" s="124"/>
      <c r="Y156" s="90"/>
      <c r="Z156" s="90"/>
      <c r="AA156" s="90"/>
      <c r="AB156" s="90"/>
    </row>
    <row r="158" spans="1:40" ht="30" customHeight="1" x14ac:dyDescent="0.2">
      <c r="O158" s="125" t="str">
        <f>Import.Município</f>
        <v>LARANJAL/PR</v>
      </c>
      <c r="P158" s="125"/>
      <c r="Q158" s="125"/>
      <c r="S158" s="91"/>
      <c r="T158" s="91"/>
      <c r="U158" s="91"/>
      <c r="V158" s="91"/>
      <c r="W158" s="92"/>
    </row>
    <row r="159" spans="1:40" x14ac:dyDescent="0.2">
      <c r="O159" s="93" t="s">
        <v>227</v>
      </c>
      <c r="S159" s="94" t="s">
        <v>228</v>
      </c>
      <c r="T159" s="94"/>
      <c r="U159" s="94"/>
      <c r="V159" s="94"/>
    </row>
    <row r="160" spans="1:40" x14ac:dyDescent="0.2">
      <c r="S160" s="12" t="s">
        <v>229</v>
      </c>
      <c r="T160" s="95" t="str">
        <f t="array" ref="T160:T162">Import.RespOrçamento</f>
        <v xml:space="preserve">SIMONE DE ANDRADE </v>
      </c>
      <c r="V160" s="96"/>
    </row>
    <row r="161" spans="15:22" x14ac:dyDescent="0.2">
      <c r="O161" s="119">
        <f>[1]DADOS!$F$25</f>
        <v>45280</v>
      </c>
      <c r="P161" s="119"/>
      <c r="Q161" s="119"/>
      <c r="S161" s="12" t="s">
        <v>230</v>
      </c>
      <c r="T161" s="95" t="str">
        <v>ARQUITETA E URBANISTA CAU A450111</v>
      </c>
      <c r="U161" s="96"/>
      <c r="V161" s="96"/>
    </row>
    <row r="162" spans="15:22" x14ac:dyDescent="0.2">
      <c r="O162" s="97" t="s">
        <v>231</v>
      </c>
      <c r="P162" s="98"/>
      <c r="Q162" s="98"/>
      <c r="S162" s="12" t="s">
        <v>232</v>
      </c>
      <c r="T162" s="95" t="str">
        <v>12669270</v>
      </c>
      <c r="U162" s="96"/>
      <c r="V162" s="96"/>
    </row>
  </sheetData>
  <sheetProtection password="BD1F" sheet="1" objects="1" scenarios="1" autoFilter="0"/>
  <autoFilter ref="L15:L145"/>
  <mergeCells count="24">
    <mergeCell ref="O4:P4"/>
    <mergeCell ref="S4:X4"/>
    <mergeCell ref="O5:P5"/>
    <mergeCell ref="S5:X5"/>
    <mergeCell ref="AE5:AF5"/>
    <mergeCell ref="AJ7:AJ11"/>
    <mergeCell ref="AL7:AL11"/>
    <mergeCell ref="F8:K8"/>
    <mergeCell ref="L8:L12"/>
    <mergeCell ref="O8:P8"/>
    <mergeCell ref="S8:U8"/>
    <mergeCell ref="Y8:Y12"/>
    <mergeCell ref="Z8:Z12"/>
    <mergeCell ref="F9:K9"/>
    <mergeCell ref="AA12:AB12"/>
    <mergeCell ref="O7:P7"/>
    <mergeCell ref="S7:U7"/>
    <mergeCell ref="O161:Q161"/>
    <mergeCell ref="O15:R15"/>
    <mergeCell ref="Q148:X148"/>
    <mergeCell ref="O151:X153"/>
    <mergeCell ref="O155:X155"/>
    <mergeCell ref="O156:X156"/>
    <mergeCell ref="O158:Q158"/>
  </mergeCells>
  <conditionalFormatting sqref="M14 M66 M61:M64 M42:M59 M16:M33 M35:M40 M139:M144 M127:M137 M77:M116">
    <cfRule type="cellIs" dxfId="277" priority="121" stopIfTrue="1" operator="notEqual">
      <formula>$N14</formula>
    </cfRule>
  </conditionalFormatting>
  <conditionalFormatting sqref="N14:O14 R14 W14:X14 N66:O66 W66:X66 N61:O64 W61:X64 N42:O59 W42:X59 N16:O33 W16:X33 N35:O40 W35:X40 W139:X144 N139:O144 N127:O137 W127:X137 N77:O116 W77:X116">
    <cfRule type="expression" dxfId="276" priority="122" stopIfTrue="1">
      <formula>$C14=1</formula>
    </cfRule>
    <cfRule type="expression" dxfId="275" priority="123" stopIfTrue="1">
      <formula>OR($C14=0,$C14=2,$C14=3,$C14=4)</formula>
    </cfRule>
  </conditionalFormatting>
  <conditionalFormatting sqref="U14:V14">
    <cfRule type="expression" dxfId="274" priority="124" stopIfTrue="1">
      <formula>$C14=1</formula>
    </cfRule>
    <cfRule type="expression" dxfId="273" priority="125" stopIfTrue="1">
      <formula>OR($C14=0,$C14=2,$C14=3,$C14=4)</formula>
    </cfRule>
    <cfRule type="expression" dxfId="272" priority="126" stopIfTrue="1">
      <formula>AND(TIPOORCAMENTO="Licitado",$C14&lt;&gt;"L",$C14&lt;&gt;-1)</formula>
    </cfRule>
  </conditionalFormatting>
  <conditionalFormatting sqref="P14:Q14 S14:T14 Y14 AG14:AH14 T66 Y66 AG66:AH66 T61:T64 Y61:Y64 AG61:AH64 T42:T59 Y42:Y59 AG42:AH59 T16:T33 Y16:Y33 AG16:AH33 T35:T40 Y35:Y40 AG35:AH40 AG139:AH144 Y139:Y144 T139:T144 T127:T137 Y127:Y137 AG127:AH137 T77:T116 Y77:Y116 AG77:AH116">
    <cfRule type="expression" dxfId="271" priority="127" stopIfTrue="1">
      <formula>$C14=1</formula>
    </cfRule>
    <cfRule type="expression" dxfId="270" priority="128" stopIfTrue="1">
      <formula>OR($C14=0,$C14=2,$C14=3,$C14=4)</formula>
    </cfRule>
  </conditionalFormatting>
  <conditionalFormatting sqref="AJ66 AJ61:AJ64 AJ42:AJ59 AJ7:AJ33 AJ35:AJ40 AJ139:AJ145 AJ127:AJ137 AJ77:AJ116">
    <cfRule type="expression" dxfId="269" priority="129" stopIfTrue="1">
      <formula>OR(ACOMPANHAMENTO&lt;&gt;"BM",TIPOORCAMENTO="Licitado")</formula>
    </cfRule>
    <cfRule type="expression" dxfId="268" priority="130" stopIfTrue="1">
      <formula>$C7=1</formula>
    </cfRule>
    <cfRule type="expression" dxfId="267" priority="131" stopIfTrue="1">
      <formula>OR(AND(ISNUMBER($C7),$C7=0),$C7=2,$C7=3,$C7=4)</formula>
    </cfRule>
  </conditionalFormatting>
  <conditionalFormatting sqref="AL66 AL61:AL64 AL42:AL59 AL7:AL33 AL35:AL40 AL139:AL145 AL127:AL137 AL77:AL116">
    <cfRule type="expression" dxfId="266" priority="132" stopIfTrue="1">
      <formula>TIPOORCAMENTO="PROPOSTO"</formula>
    </cfRule>
    <cfRule type="expression" dxfId="265" priority="133" stopIfTrue="1">
      <formula>$C7=1</formula>
    </cfRule>
    <cfRule type="expression" dxfId="264" priority="134" stopIfTrue="1">
      <formula>OR(AND(ISNUMBER($C7),$C7=0),$C7=2,$C7=3,$C7=4)</formula>
    </cfRule>
  </conditionalFormatting>
  <conditionalFormatting sqref="O8:P8">
    <cfRule type="expression" dxfId="263" priority="138" stopIfTrue="1">
      <formula>ISERROR(INDIRECT($F$9))</formula>
    </cfRule>
  </conditionalFormatting>
  <conditionalFormatting sqref="S7:V8">
    <cfRule type="expression" dxfId="262" priority="139" stopIfTrue="1">
      <formula>TIPOORCAMENTO="Proposto"</formula>
    </cfRule>
  </conditionalFormatting>
  <conditionalFormatting sqref="S9:V9">
    <cfRule type="expression" dxfId="261" priority="120" stopIfTrue="1">
      <formula>TIPOORCAMENTO="Proposto"</formula>
    </cfRule>
  </conditionalFormatting>
  <conditionalFormatting sqref="AM66:AN66 AM61:AN64 AM42:AN59 AM7:AN33 AM35:AN40 AM139:AN145 AM127:AN137 AM77:AN116">
    <cfRule type="expression" dxfId="260" priority="135" stopIfTrue="1">
      <formula>TIPOORCAMENTO="PROPOSTO"</formula>
    </cfRule>
    <cfRule type="expression" dxfId="259" priority="136" stopIfTrue="1">
      <formula>$C7=1</formula>
    </cfRule>
    <cfRule type="expression" dxfId="258" priority="137" stopIfTrue="1">
      <formula>OR(AND(ISNUMBER($C7),$C7=0),$C7=2,$C7=3,$C7=4)</formula>
    </cfRule>
  </conditionalFormatting>
  <conditionalFormatting sqref="M67:M75">
    <cfRule type="cellIs" dxfId="257" priority="106" stopIfTrue="1" operator="notEqual">
      <formula>$N67</formula>
    </cfRule>
  </conditionalFormatting>
  <conditionalFormatting sqref="N67:O75 W67:X75">
    <cfRule type="expression" dxfId="256" priority="107" stopIfTrue="1">
      <formula>$C67=1</formula>
    </cfRule>
    <cfRule type="expression" dxfId="255" priority="108" stopIfTrue="1">
      <formula>OR($C67=0,$C67=2,$C67=3,$C67=4)</formula>
    </cfRule>
  </conditionalFormatting>
  <conditionalFormatting sqref="T67:T75 Y67:Y75 AG67:AH75">
    <cfRule type="expression" dxfId="254" priority="109" stopIfTrue="1">
      <formula>$C67=1</formula>
    </cfRule>
    <cfRule type="expression" dxfId="253" priority="110" stopIfTrue="1">
      <formula>OR($C67=0,$C67=2,$C67=3,$C67=4)</formula>
    </cfRule>
  </conditionalFormatting>
  <conditionalFormatting sqref="AJ67:AJ75">
    <cfRule type="expression" dxfId="252" priority="111" stopIfTrue="1">
      <formula>OR(ACOMPANHAMENTO&lt;&gt;"BM",TIPOORCAMENTO="Licitado")</formula>
    </cfRule>
    <cfRule type="expression" dxfId="251" priority="112" stopIfTrue="1">
      <formula>$C67=1</formula>
    </cfRule>
    <cfRule type="expression" dxfId="250" priority="113" stopIfTrue="1">
      <formula>OR(AND(ISNUMBER($C67),$C67=0),$C67=2,$C67=3,$C67=4)</formula>
    </cfRule>
  </conditionalFormatting>
  <conditionalFormatting sqref="AL67:AL75">
    <cfRule type="expression" dxfId="249" priority="114" stopIfTrue="1">
      <formula>TIPOORCAMENTO="PROPOSTO"</formula>
    </cfRule>
    <cfRule type="expression" dxfId="248" priority="115" stopIfTrue="1">
      <formula>$C67=1</formula>
    </cfRule>
    <cfRule type="expression" dxfId="247" priority="116" stopIfTrue="1">
      <formula>OR(AND(ISNUMBER($C67),$C67=0),$C67=2,$C67=3,$C67=4)</formula>
    </cfRule>
  </conditionalFormatting>
  <conditionalFormatting sqref="AM67:AN75">
    <cfRule type="expression" dxfId="246" priority="117" stopIfTrue="1">
      <formula>TIPOORCAMENTO="PROPOSTO"</formula>
    </cfRule>
    <cfRule type="expression" dxfId="245" priority="118" stopIfTrue="1">
      <formula>$C67=1</formula>
    </cfRule>
    <cfRule type="expression" dxfId="244" priority="119" stopIfTrue="1">
      <formula>OR(AND(ISNUMBER($C67),$C67=0),$C67=2,$C67=3,$C67=4)</formula>
    </cfRule>
  </conditionalFormatting>
  <conditionalFormatting sqref="M34 M41">
    <cfRule type="cellIs" dxfId="243" priority="92" stopIfTrue="1" operator="notEqual">
      <formula>$N34</formula>
    </cfRule>
  </conditionalFormatting>
  <conditionalFormatting sqref="N34:O34 W34:X34 W41:X41 N41:O41">
    <cfRule type="expression" dxfId="242" priority="93" stopIfTrue="1">
      <formula>$C34=1</formula>
    </cfRule>
    <cfRule type="expression" dxfId="241" priority="94" stopIfTrue="1">
      <formula>OR($C34=0,$C34=2,$C34=3,$C34=4)</formula>
    </cfRule>
  </conditionalFormatting>
  <conditionalFormatting sqref="T34 Y34 AG34:AH34 AG41:AH41 Y41 T41">
    <cfRule type="expression" dxfId="240" priority="95" stopIfTrue="1">
      <formula>$C34=1</formula>
    </cfRule>
    <cfRule type="expression" dxfId="239" priority="96" stopIfTrue="1">
      <formula>OR($C34=0,$C34=2,$C34=3,$C34=4)</formula>
    </cfRule>
  </conditionalFormatting>
  <conditionalFormatting sqref="AJ34 AJ41">
    <cfRule type="expression" dxfId="238" priority="97" stopIfTrue="1">
      <formula>OR(ACOMPANHAMENTO&lt;&gt;"BM",TIPOORCAMENTO="Licitado")</formula>
    </cfRule>
    <cfRule type="expression" dxfId="237" priority="98" stopIfTrue="1">
      <formula>$C34=1</formula>
    </cfRule>
    <cfRule type="expression" dxfId="236" priority="99" stopIfTrue="1">
      <formula>OR(AND(ISNUMBER($C34),$C34=0),$C34=2,$C34=3,$C34=4)</formula>
    </cfRule>
  </conditionalFormatting>
  <conditionalFormatting sqref="AL34 AL41">
    <cfRule type="expression" dxfId="235" priority="100" stopIfTrue="1">
      <formula>TIPOORCAMENTO="PROPOSTO"</formula>
    </cfRule>
    <cfRule type="expression" dxfId="234" priority="101" stopIfTrue="1">
      <formula>$C34=1</formula>
    </cfRule>
    <cfRule type="expression" dxfId="233" priority="102" stopIfTrue="1">
      <formula>OR(AND(ISNUMBER($C34),$C34=0),$C34=2,$C34=3,$C34=4)</formula>
    </cfRule>
  </conditionalFormatting>
  <conditionalFormatting sqref="AM34:AN34 AM41:AN41">
    <cfRule type="expression" dxfId="232" priority="103" stopIfTrue="1">
      <formula>TIPOORCAMENTO="PROPOSTO"</formula>
    </cfRule>
    <cfRule type="expression" dxfId="231" priority="104" stopIfTrue="1">
      <formula>$C34=1</formula>
    </cfRule>
    <cfRule type="expression" dxfId="230" priority="105" stopIfTrue="1">
      <formula>OR(AND(ISNUMBER($C34),$C34=0),$C34=2,$C34=3,$C34=4)</formula>
    </cfRule>
  </conditionalFormatting>
  <conditionalFormatting sqref="M65">
    <cfRule type="cellIs" dxfId="229" priority="78" stopIfTrue="1" operator="notEqual">
      <formula>$N65</formula>
    </cfRule>
  </conditionalFormatting>
  <conditionalFormatting sqref="N65:O65 W65:X65">
    <cfRule type="expression" dxfId="228" priority="79" stopIfTrue="1">
      <formula>$C65=1</formula>
    </cfRule>
    <cfRule type="expression" dxfId="227" priority="80" stopIfTrue="1">
      <formula>OR($C65=0,$C65=2,$C65=3,$C65=4)</formula>
    </cfRule>
  </conditionalFormatting>
  <conditionalFormatting sqref="T65 Y65 AG65:AH65">
    <cfRule type="expression" dxfId="226" priority="81" stopIfTrue="1">
      <formula>$C65=1</formula>
    </cfRule>
    <cfRule type="expression" dxfId="225" priority="82" stopIfTrue="1">
      <formula>OR($C65=0,$C65=2,$C65=3,$C65=4)</formula>
    </cfRule>
  </conditionalFormatting>
  <conditionalFormatting sqref="AJ65">
    <cfRule type="expression" dxfId="224" priority="83" stopIfTrue="1">
      <formula>OR(ACOMPANHAMENTO&lt;&gt;"BM",TIPOORCAMENTO="Licitado")</formula>
    </cfRule>
    <cfRule type="expression" dxfId="223" priority="84" stopIfTrue="1">
      <formula>$C65=1</formula>
    </cfRule>
    <cfRule type="expression" dxfId="222" priority="85" stopIfTrue="1">
      <formula>OR(AND(ISNUMBER($C65),$C65=0),$C65=2,$C65=3,$C65=4)</formula>
    </cfRule>
  </conditionalFormatting>
  <conditionalFormatting sqref="AL65">
    <cfRule type="expression" dxfId="221" priority="86" stopIfTrue="1">
      <formula>TIPOORCAMENTO="PROPOSTO"</formula>
    </cfRule>
    <cfRule type="expression" dxfId="220" priority="87" stopIfTrue="1">
      <formula>$C65=1</formula>
    </cfRule>
    <cfRule type="expression" dxfId="219" priority="88" stopIfTrue="1">
      <formula>OR(AND(ISNUMBER($C65),$C65=0),$C65=2,$C65=3,$C65=4)</formula>
    </cfRule>
  </conditionalFormatting>
  <conditionalFormatting sqref="AM65:AN65">
    <cfRule type="expression" dxfId="218" priority="89" stopIfTrue="1">
      <formula>TIPOORCAMENTO="PROPOSTO"</formula>
    </cfRule>
    <cfRule type="expression" dxfId="217" priority="90" stopIfTrue="1">
      <formula>$C65=1</formula>
    </cfRule>
    <cfRule type="expression" dxfId="216" priority="91" stopIfTrue="1">
      <formula>OR(AND(ISNUMBER($C65),$C65=0),$C65=2,$C65=3,$C65=4)</formula>
    </cfRule>
  </conditionalFormatting>
  <conditionalFormatting sqref="M138">
    <cfRule type="cellIs" dxfId="215" priority="64" stopIfTrue="1" operator="notEqual">
      <formula>$N138</formula>
    </cfRule>
  </conditionalFormatting>
  <conditionalFormatting sqref="N138:O138 W138:X138">
    <cfRule type="expression" dxfId="214" priority="65" stopIfTrue="1">
      <formula>$C138=1</formula>
    </cfRule>
    <cfRule type="expression" dxfId="213" priority="66" stopIfTrue="1">
      <formula>OR($C138=0,$C138=2,$C138=3,$C138=4)</formula>
    </cfRule>
  </conditionalFormatting>
  <conditionalFormatting sqref="T138 Y138 AG138:AH138">
    <cfRule type="expression" dxfId="212" priority="67" stopIfTrue="1">
      <formula>$C138=1</formula>
    </cfRule>
    <cfRule type="expression" dxfId="211" priority="68" stopIfTrue="1">
      <formula>OR($C138=0,$C138=2,$C138=3,$C138=4)</formula>
    </cfRule>
  </conditionalFormatting>
  <conditionalFormatting sqref="AJ138">
    <cfRule type="expression" dxfId="210" priority="69" stopIfTrue="1">
      <formula>OR(ACOMPANHAMENTO&lt;&gt;"BM",TIPOORCAMENTO="Licitado")</formula>
    </cfRule>
    <cfRule type="expression" dxfId="209" priority="70" stopIfTrue="1">
      <formula>$C138=1</formula>
    </cfRule>
    <cfRule type="expression" dxfId="208" priority="71" stopIfTrue="1">
      <formula>OR(AND(ISNUMBER($C138),$C138=0),$C138=2,$C138=3,$C138=4)</formula>
    </cfRule>
  </conditionalFormatting>
  <conditionalFormatting sqref="AL138">
    <cfRule type="expression" dxfId="207" priority="72" stopIfTrue="1">
      <formula>TIPOORCAMENTO="PROPOSTO"</formula>
    </cfRule>
    <cfRule type="expression" dxfId="206" priority="73" stopIfTrue="1">
      <formula>$C138=1</formula>
    </cfRule>
    <cfRule type="expression" dxfId="205" priority="74" stopIfTrue="1">
      <formula>OR(AND(ISNUMBER($C138),$C138=0),$C138=2,$C138=3,$C138=4)</formula>
    </cfRule>
  </conditionalFormatting>
  <conditionalFormatting sqref="AM138:AN138">
    <cfRule type="expression" dxfId="204" priority="75" stopIfTrue="1">
      <formula>TIPOORCAMENTO="PROPOSTO"</formula>
    </cfRule>
    <cfRule type="expression" dxfId="203" priority="76" stopIfTrue="1">
      <formula>$C138=1</formula>
    </cfRule>
    <cfRule type="expression" dxfId="202" priority="77" stopIfTrue="1">
      <formula>OR(AND(ISNUMBER($C138),$C138=0),$C138=2,$C138=3,$C138=4)</formula>
    </cfRule>
  </conditionalFormatting>
  <conditionalFormatting sqref="M117:M125">
    <cfRule type="cellIs" dxfId="201" priority="50" stopIfTrue="1" operator="notEqual">
      <formula>$N117</formula>
    </cfRule>
  </conditionalFormatting>
  <conditionalFormatting sqref="N117:O125 W117:X125">
    <cfRule type="expression" dxfId="200" priority="51" stopIfTrue="1">
      <formula>$C117=1</formula>
    </cfRule>
    <cfRule type="expression" dxfId="199" priority="52" stopIfTrue="1">
      <formula>OR($C117=0,$C117=2,$C117=3,$C117=4)</formula>
    </cfRule>
  </conditionalFormatting>
  <conditionalFormatting sqref="T117:T125 Y117:Y125 AG117:AH125">
    <cfRule type="expression" dxfId="198" priority="53" stopIfTrue="1">
      <formula>$C117=1</formula>
    </cfRule>
    <cfRule type="expression" dxfId="197" priority="54" stopIfTrue="1">
      <formula>OR($C117=0,$C117=2,$C117=3,$C117=4)</formula>
    </cfRule>
  </conditionalFormatting>
  <conditionalFormatting sqref="AJ117:AJ125">
    <cfRule type="expression" dxfId="196" priority="55" stopIfTrue="1">
      <formula>OR(ACOMPANHAMENTO&lt;&gt;"BM",TIPOORCAMENTO="Licitado")</formula>
    </cfRule>
    <cfRule type="expression" dxfId="195" priority="56" stopIfTrue="1">
      <formula>$C117=1</formula>
    </cfRule>
    <cfRule type="expression" dxfId="194" priority="57" stopIfTrue="1">
      <formula>OR(AND(ISNUMBER($C117),$C117=0),$C117=2,$C117=3,$C117=4)</formula>
    </cfRule>
  </conditionalFormatting>
  <conditionalFormatting sqref="AL117:AL125">
    <cfRule type="expression" dxfId="193" priority="58" stopIfTrue="1">
      <formula>TIPOORCAMENTO="PROPOSTO"</formula>
    </cfRule>
    <cfRule type="expression" dxfId="192" priority="59" stopIfTrue="1">
      <formula>$C117=1</formula>
    </cfRule>
    <cfRule type="expression" dxfId="191" priority="60" stopIfTrue="1">
      <formula>OR(AND(ISNUMBER($C117),$C117=0),$C117=2,$C117=3,$C117=4)</formula>
    </cfRule>
  </conditionalFormatting>
  <conditionalFormatting sqref="AM117:AN125">
    <cfRule type="expression" dxfId="190" priority="61" stopIfTrue="1">
      <formula>TIPOORCAMENTO="PROPOSTO"</formula>
    </cfRule>
    <cfRule type="expression" dxfId="189" priority="62" stopIfTrue="1">
      <formula>$C117=1</formula>
    </cfRule>
    <cfRule type="expression" dxfId="188" priority="63" stopIfTrue="1">
      <formula>OR(AND(ISNUMBER($C117),$C117=0),$C117=2,$C117=3,$C117=4)</formula>
    </cfRule>
  </conditionalFormatting>
  <conditionalFormatting sqref="M126">
    <cfRule type="cellIs" dxfId="187" priority="36" stopIfTrue="1" operator="notEqual">
      <formula>$N126</formula>
    </cfRule>
  </conditionalFormatting>
  <conditionalFormatting sqref="N126:O126 W126:X126">
    <cfRule type="expression" dxfId="186" priority="37" stopIfTrue="1">
      <formula>$C126=1</formula>
    </cfRule>
    <cfRule type="expression" dxfId="185" priority="38" stopIfTrue="1">
      <formula>OR($C126=0,$C126=2,$C126=3,$C126=4)</formula>
    </cfRule>
  </conditionalFormatting>
  <conditionalFormatting sqref="T126 Y126 AG126:AH126">
    <cfRule type="expression" dxfId="184" priority="39" stopIfTrue="1">
      <formula>$C126=1</formula>
    </cfRule>
    <cfRule type="expression" dxfId="183" priority="40" stopIfTrue="1">
      <formula>OR($C126=0,$C126=2,$C126=3,$C126=4)</formula>
    </cfRule>
  </conditionalFormatting>
  <conditionalFormatting sqref="AJ126">
    <cfRule type="expression" dxfId="182" priority="41" stopIfTrue="1">
      <formula>OR(ACOMPANHAMENTO&lt;&gt;"BM",TIPOORCAMENTO="Licitado")</formula>
    </cfRule>
    <cfRule type="expression" dxfId="181" priority="42" stopIfTrue="1">
      <formula>$C126=1</formula>
    </cfRule>
    <cfRule type="expression" dxfId="180" priority="43" stopIfTrue="1">
      <formula>OR(AND(ISNUMBER($C126),$C126=0),$C126=2,$C126=3,$C126=4)</formula>
    </cfRule>
  </conditionalFormatting>
  <conditionalFormatting sqref="AL126">
    <cfRule type="expression" dxfId="179" priority="44" stopIfTrue="1">
      <formula>TIPOORCAMENTO="PROPOSTO"</formula>
    </cfRule>
    <cfRule type="expression" dxfId="178" priority="45" stopIfTrue="1">
      <formula>$C126=1</formula>
    </cfRule>
    <cfRule type="expression" dxfId="177" priority="46" stopIfTrue="1">
      <formula>OR(AND(ISNUMBER($C126),$C126=0),$C126=2,$C126=3,$C126=4)</formula>
    </cfRule>
  </conditionalFormatting>
  <conditionalFormatting sqref="AM126:AN126">
    <cfRule type="expression" dxfId="176" priority="47" stopIfTrue="1">
      <formula>TIPOORCAMENTO="PROPOSTO"</formula>
    </cfRule>
    <cfRule type="expression" dxfId="175" priority="48" stopIfTrue="1">
      <formula>$C126=1</formula>
    </cfRule>
    <cfRule type="expression" dxfId="174" priority="49" stopIfTrue="1">
      <formula>OR(AND(ISNUMBER($C126),$C126=0),$C126=2,$C126=3,$C126=4)</formula>
    </cfRule>
  </conditionalFormatting>
  <conditionalFormatting sqref="M60">
    <cfRule type="cellIs" dxfId="173" priority="22" stopIfTrue="1" operator="notEqual">
      <formula>$N60</formula>
    </cfRule>
  </conditionalFormatting>
  <conditionalFormatting sqref="N60:O60 W60:X60">
    <cfRule type="expression" dxfId="172" priority="23" stopIfTrue="1">
      <formula>$C60=1</formula>
    </cfRule>
    <cfRule type="expression" dxfId="171" priority="24" stopIfTrue="1">
      <formula>OR($C60=0,$C60=2,$C60=3,$C60=4)</formula>
    </cfRule>
  </conditionalFormatting>
  <conditionalFormatting sqref="T60 Y60 AG60:AH60">
    <cfRule type="expression" dxfId="170" priority="25" stopIfTrue="1">
      <formula>$C60=1</formula>
    </cfRule>
    <cfRule type="expression" dxfId="169" priority="26" stopIfTrue="1">
      <formula>OR($C60=0,$C60=2,$C60=3,$C60=4)</formula>
    </cfRule>
  </conditionalFormatting>
  <conditionalFormatting sqref="AJ60">
    <cfRule type="expression" dxfId="168" priority="27" stopIfTrue="1">
      <formula>OR(ACOMPANHAMENTO&lt;&gt;"BM",TIPOORCAMENTO="Licitado")</formula>
    </cfRule>
    <cfRule type="expression" dxfId="167" priority="28" stopIfTrue="1">
      <formula>$C60=1</formula>
    </cfRule>
    <cfRule type="expression" dxfId="166" priority="29" stopIfTrue="1">
      <formula>OR(AND(ISNUMBER($C60),$C60=0),$C60=2,$C60=3,$C60=4)</formula>
    </cfRule>
  </conditionalFormatting>
  <conditionalFormatting sqref="AL60">
    <cfRule type="expression" dxfId="165" priority="30" stopIfTrue="1">
      <formula>TIPOORCAMENTO="PROPOSTO"</formula>
    </cfRule>
    <cfRule type="expression" dxfId="164" priority="31" stopIfTrue="1">
      <formula>$C60=1</formula>
    </cfRule>
    <cfRule type="expression" dxfId="163" priority="32" stopIfTrue="1">
      <formula>OR(AND(ISNUMBER($C60),$C60=0),$C60=2,$C60=3,$C60=4)</formula>
    </cfRule>
  </conditionalFormatting>
  <conditionalFormatting sqref="AM60:AN60">
    <cfRule type="expression" dxfId="162" priority="33" stopIfTrue="1">
      <formula>TIPOORCAMENTO="PROPOSTO"</formula>
    </cfRule>
    <cfRule type="expression" dxfId="161" priority="34" stopIfTrue="1">
      <formula>$C60=1</formula>
    </cfRule>
    <cfRule type="expression" dxfId="160" priority="35" stopIfTrue="1">
      <formula>OR(AND(ISNUMBER($C60),$C60=0),$C60=2,$C60=3,$C60=4)</formula>
    </cfRule>
  </conditionalFormatting>
  <conditionalFormatting sqref="M76">
    <cfRule type="cellIs" dxfId="159" priority="8" stopIfTrue="1" operator="notEqual">
      <formula>$N76</formula>
    </cfRule>
  </conditionalFormatting>
  <conditionalFormatting sqref="N76:O76 W76:X76">
    <cfRule type="expression" dxfId="158" priority="9" stopIfTrue="1">
      <formula>$C76=1</formula>
    </cfRule>
    <cfRule type="expression" dxfId="157" priority="10" stopIfTrue="1">
      <formula>OR($C76=0,$C76=2,$C76=3,$C76=4)</formula>
    </cfRule>
  </conditionalFormatting>
  <conditionalFormatting sqref="T76 Y76 AG76:AH76">
    <cfRule type="expression" dxfId="156" priority="11" stopIfTrue="1">
      <formula>$C76=1</formula>
    </cfRule>
    <cfRule type="expression" dxfId="155" priority="12" stopIfTrue="1">
      <formula>OR($C76=0,$C76=2,$C76=3,$C76=4)</formula>
    </cfRule>
  </conditionalFormatting>
  <conditionalFormatting sqref="AJ76">
    <cfRule type="expression" dxfId="154" priority="13" stopIfTrue="1">
      <formula>OR(ACOMPANHAMENTO&lt;&gt;"BM",TIPOORCAMENTO="Licitado")</formula>
    </cfRule>
    <cfRule type="expression" dxfId="153" priority="14" stopIfTrue="1">
      <formula>$C76=1</formula>
    </cfRule>
    <cfRule type="expression" dxfId="152" priority="15" stopIfTrue="1">
      <formula>OR(AND(ISNUMBER($C76),$C76=0),$C76=2,$C76=3,$C76=4)</formula>
    </cfRule>
  </conditionalFormatting>
  <conditionalFormatting sqref="AL76">
    <cfRule type="expression" dxfId="151" priority="16" stopIfTrue="1">
      <formula>TIPOORCAMENTO="PROPOSTO"</formula>
    </cfRule>
    <cfRule type="expression" dxfId="150" priority="17" stopIfTrue="1">
      <formula>$C76=1</formula>
    </cfRule>
    <cfRule type="expression" dxfId="149" priority="18" stopIfTrue="1">
      <formula>OR(AND(ISNUMBER($C76),$C76=0),$C76=2,$C76=3,$C76=4)</formula>
    </cfRule>
  </conditionalFormatting>
  <conditionalFormatting sqref="AM76:AN76">
    <cfRule type="expression" dxfId="148" priority="19" stopIfTrue="1">
      <formula>TIPOORCAMENTO="PROPOSTO"</formula>
    </cfRule>
    <cfRule type="expression" dxfId="147" priority="20" stopIfTrue="1">
      <formula>$C76=1</formula>
    </cfRule>
    <cfRule type="expression" dxfId="146" priority="21" stopIfTrue="1">
      <formula>OR(AND(ISNUMBER($C76),$C76=0),$C76=2,$C76=3,$C76=4)</formula>
    </cfRule>
  </conditionalFormatting>
  <conditionalFormatting sqref="R16:R144">
    <cfRule type="expression" dxfId="145" priority="4" stopIfTrue="1">
      <formula>$C16=1</formula>
    </cfRule>
    <cfRule type="expression" dxfId="144" priority="5" stopIfTrue="1">
      <formula>OR($C16=0,$C16=2,$C16=3,$C16=4)</formula>
    </cfRule>
  </conditionalFormatting>
  <conditionalFormatting sqref="P16:Q144 S16:S144">
    <cfRule type="expression" dxfId="143" priority="6" stopIfTrue="1">
      <formula>$C16=1</formula>
    </cfRule>
    <cfRule type="expression" dxfId="142" priority="7" stopIfTrue="1">
      <formula>OR($C16=0,$C16=2,$C16=3,$C16=4)</formula>
    </cfRule>
  </conditionalFormatting>
  <conditionalFormatting sqref="U16:V144">
    <cfRule type="expression" dxfId="141" priority="1" stopIfTrue="1">
      <formula>$C16=1</formula>
    </cfRule>
    <cfRule type="expression" dxfId="140" priority="2" stopIfTrue="1">
      <formula>OR($C16=0,$C16=2,$C16=3,$C16=4)</formula>
    </cfRule>
    <cfRule type="expression" dxfId="139" priority="3" stopIfTrue="1">
      <formula>AND(TIPOORCAMENTO="Licitado",$C16&lt;&gt;"L",$C16&lt;&gt;-1)</formula>
    </cfRule>
  </conditionalFormatting>
  <dataValidations count="7">
    <dataValidation allowBlank="1" showInputMessage="1" showErrorMessage="1" prompt="Para Orçamento Proposto, o Preço Unitário é resultado do produto do Custo Unitário pelo BDI._x000a_Para Orçamento Licitado, deve ser preenchido na Coluna AL." sqref="W14 W16:W144"/>
    <dataValidation allowBlank="1" showInputMessage="1" showErrorMessage="1" prompt="A entrada de quantidades é feita na coluna AJ se acompanhamento por BM, ou na aba &quot;Memória de Cálculo/PLQ&quot; se acompanhamento por PLE." sqref="T14 T16:T144"/>
    <dataValidation type="list" showErrorMessage="1" errorTitle="Erro de Entrada" error="Selecione somente os itens da lista." promptTitle="Nível:" prompt="Selecione na lista o nível de itemização da Planilha." sqref="M14 M16:M144">
      <formula1>"Meta,Nível 2,Nível 3,Nível 4,Serviço"</formula1>
      <formula2>0</formula2>
    </dataValidation>
    <dataValidation type="list" errorStyle="warning" allowBlank="1" showErrorMessage="1" errorTitle="Aviso BDI" error="Selecione um dos 3 BDI da lista._x000a__x000a_Caso tenha mais de 3 BDI nesta Planilha Orçamentária digite apenas valor percentual." sqref="V14 V16:V144">
      <mc:AlternateContent xmlns:x12ac="http://schemas.microsoft.com/office/spreadsheetml/2011/1/ac" xmlns:mc="http://schemas.openxmlformats.org/markup-compatibility/2006">
        <mc:Choice Requires="x12ac">
          <x12ac:list>BDI 1,BDI 2,BDI 3,"0,00%"</x12ac:list>
        </mc:Choice>
        <mc:Fallback>
          <formula1>"BDI 1,BDI 2,BDI 3,0,00%"</formula1>
        </mc:Fallback>
      </mc:AlternateContent>
      <formula2>0</formula2>
    </dataValidation>
    <dataValidation type="list" errorStyle="warning" allowBlank="1" showInputMessage="1" showErrorMessage="1" errorTitle="Aviso BDI" error="Selecione um dos 3 BDI da lista._x000a__x000a_Caso tenha mais de 3 BDI nesta Planilha Orçamentária digite apenas valor percentual." promptTitle="Legenda:" prompt="RA: Rateio proporcional entre Repasse e Contrapartida._x000a_RP: 100% Repasse_x000a_CP: 100% Contrapartida_x000a_OU: 100% Outros." sqref="Y14 Y16:Y144">
      <formula1>"RA,RP,CP,OU"</formula1>
      <formula2>0</formula2>
    </dataValidation>
    <dataValidation type="list" allowBlank="1" sqref="P14 P16:P144">
      <formula1>"SINAPI,SINAPI-I,SICRO,Composição,Cotação"</formula1>
      <formula2>0</formula2>
    </dataValidation>
    <dataValidation type="decimal" operator="greaterThan" allowBlank="1" showErrorMessage="1" error="Apenas números decimais maiores que zero." sqref="U14 AL14 AJ14 AL16:AL144 AJ16:AJ144 U16:U144">
      <formula1>0</formula1>
      <formula2>0</formula2>
    </dataValidation>
  </dataValidations>
  <pageMargins left="0.78740157480314998" right="0.78740157480314998" top="0.78740157480314998" bottom="0.78740157480314998" header="0.59055118110236204" footer="0.59055118110236204"/>
  <pageSetup paperSize="9" scale="67" firstPageNumber="0" fitToHeight="0" orientation="landscape" r:id="rId1"/>
  <headerFooter alignWithMargins="0">
    <oddHeader>&amp;C&amp;14I</oddHeader>
    <oddFooter>&amp;LPMv3.0.4&amp;R&amp;P / &amp;N</oddFooter>
  </headerFooter>
  <colBreaks count="1" manualBreakCount="1">
    <brk id="2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aixaArredQuant">
              <controlPr defaultSize="0" print="0" autoFill="0" autoLine="0" autoPict="0">
                <anchor moveWithCells="1" sizeWithCells="1">
                  <from>
                    <xdr:col>19</xdr:col>
                    <xdr:colOff>457200</xdr:colOff>
                    <xdr:row>9</xdr:row>
                    <xdr:rowOff>123825</xdr:rowOff>
                  </from>
                  <to>
                    <xdr:col>19</xdr:col>
                    <xdr:colOff>895350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aixaArredCustoUnit">
              <controlPr defaultSize="0" print="0" autoFill="0" autoLine="0" autoPict="0">
                <anchor moveWithCells="1" sizeWithCells="1">
                  <from>
                    <xdr:col>20</xdr:col>
                    <xdr:colOff>447675</xdr:colOff>
                    <xdr:row>9</xdr:row>
                    <xdr:rowOff>123825</xdr:rowOff>
                  </from>
                  <to>
                    <xdr:col>20</xdr:col>
                    <xdr:colOff>876300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aixaArredBDI">
              <controlPr defaultSize="0" print="0" autoFill="0" autoLine="0" autoPict="0">
                <anchor moveWithCells="1" sizeWithCells="1">
                  <from>
                    <xdr:col>21</xdr:col>
                    <xdr:colOff>285750</xdr:colOff>
                    <xdr:row>9</xdr:row>
                    <xdr:rowOff>123825</xdr:rowOff>
                  </from>
                  <to>
                    <xdr:col>21</xdr:col>
                    <xdr:colOff>704850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aixaArredPrecoUnit">
              <controlPr defaultSize="0" print="0" autoFill="0" autoLine="0" autoPict="0">
                <anchor moveWithCells="1" sizeWithCells="1">
                  <from>
                    <xdr:col>22</xdr:col>
                    <xdr:colOff>361950</xdr:colOff>
                    <xdr:row>9</xdr:row>
                    <xdr:rowOff>123825</xdr:rowOff>
                  </from>
                  <to>
                    <xdr:col>22</xdr:col>
                    <xdr:colOff>790575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aixaArredPrecoTotal">
              <controlPr defaultSize="0" print="0" autoFill="0" autoLine="0" autoPict="0">
                <anchor moveWithCells="1" sizeWithCells="1">
                  <from>
                    <xdr:col>23</xdr:col>
                    <xdr:colOff>447675</xdr:colOff>
                    <xdr:row>9</xdr:row>
                    <xdr:rowOff>104775</xdr:rowOff>
                  </from>
                  <to>
                    <xdr:col>23</xdr:col>
                    <xdr:colOff>876300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6">
    <pageSetUpPr fitToPage="1"/>
  </sheetPr>
  <dimension ref="A1:AN162"/>
  <sheetViews>
    <sheetView showGridLines="0" zoomScale="80" zoomScaleNormal="80" zoomScaleSheetLayoutView="90" workbookViewId="0">
      <pane xSplit="19" ySplit="15" topLeftCell="T139" activePane="bottomRight" state="frozen"/>
      <selection activeCell="L1" sqref="L1"/>
      <selection pane="topRight" activeCell="T1" sqref="T1"/>
      <selection pane="bottomLeft" activeCell="L16" sqref="L16"/>
      <selection pane="bottomRight" activeCell="N15" sqref="N15:X144"/>
    </sheetView>
  </sheetViews>
  <sheetFormatPr defaultRowHeight="12.75" x14ac:dyDescent="0.2"/>
  <cols>
    <col min="1" max="1" width="5.5703125" hidden="1" customWidth="1"/>
    <col min="2" max="2" width="10.42578125" hidden="1" customWidth="1"/>
    <col min="3" max="3" width="5.5703125" hidden="1" customWidth="1"/>
    <col min="4" max="4" width="12.85546875" hidden="1" customWidth="1"/>
    <col min="5" max="5" width="8.7109375" hidden="1" customWidth="1"/>
    <col min="6" max="6" width="12.42578125" hidden="1" customWidth="1"/>
    <col min="7" max="7" width="14.5703125" hidden="1" customWidth="1"/>
    <col min="8" max="8" width="11.28515625" hidden="1" customWidth="1"/>
    <col min="9" max="9" width="13.42578125" hidden="1" customWidth="1"/>
    <col min="10" max="10" width="7.28515625" hidden="1" customWidth="1"/>
    <col min="11" max="11" width="7.5703125" hidden="1" customWidth="1"/>
    <col min="12" max="12" width="3.7109375" customWidth="1"/>
    <col min="13" max="14" width="8.7109375" customWidth="1"/>
    <col min="15" max="15" width="12.7109375" customWidth="1"/>
    <col min="16" max="17" width="15.7109375" customWidth="1"/>
    <col min="18" max="18" width="65.7109375" customWidth="1"/>
    <col min="19" max="19" width="10.7109375" customWidth="1"/>
    <col min="20" max="21" width="14.7109375" customWidth="1"/>
    <col min="22" max="22" width="10.7109375" customWidth="1"/>
    <col min="23" max="23" width="14.7109375" customWidth="1"/>
    <col min="24" max="24" width="15.7109375" customWidth="1"/>
    <col min="25" max="25" width="3.7109375" customWidth="1"/>
    <col min="26" max="26" width="3.7109375" hidden="1" customWidth="1"/>
    <col min="27" max="28" width="14.7109375" hidden="1" customWidth="1"/>
    <col min="29" max="29" width="15.7109375" customWidth="1"/>
    <col min="30" max="31" width="9.140625" hidden="1" customWidth="1"/>
    <col min="32" max="32" width="15.5703125" hidden="1" customWidth="1"/>
    <col min="33" max="33" width="15.7109375" customWidth="1"/>
    <col min="35" max="35" width="1.7109375" customWidth="1"/>
    <col min="36" max="36" width="14.7109375" customWidth="1"/>
    <col min="37" max="37" width="1.7109375" customWidth="1"/>
    <col min="38" max="38" width="14.7109375" customWidth="1"/>
    <col min="39" max="40" width="15.7109375" customWidth="1"/>
  </cols>
  <sheetData>
    <row r="1" spans="1:40" ht="18" x14ac:dyDescent="0.2">
      <c r="M1" s="1"/>
      <c r="N1" s="1"/>
      <c r="R1" s="2" t="s">
        <v>0</v>
      </c>
      <c r="T1" s="2"/>
      <c r="X1" s="3" t="s">
        <v>1</v>
      </c>
      <c r="Y1" s="4"/>
      <c r="Z1" s="4"/>
      <c r="AA1" s="4"/>
      <c r="AB1" s="4"/>
    </row>
    <row r="2" spans="1:40" ht="15" x14ac:dyDescent="0.2"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R2" s="5" t="str">
        <f>IF(TIPOORCAMENTO="licitado","Orçamento Licitado","Orçamento Base para Licitação")&amp;" - "&amp;import.recurso</f>
        <v>Orçamento Base para Licitação - OGU</v>
      </c>
      <c r="X2" s="6" t="s">
        <v>8</v>
      </c>
      <c r="Y2" s="7"/>
      <c r="Z2" s="7"/>
      <c r="AA2" s="7"/>
      <c r="AB2" s="7"/>
    </row>
    <row r="3" spans="1:40" x14ac:dyDescent="0.2">
      <c r="H3" s="8"/>
      <c r="R3" s="9"/>
    </row>
    <row r="4" spans="1:40" x14ac:dyDescent="0.2">
      <c r="A4" t="s">
        <v>9</v>
      </c>
      <c r="F4" t="s">
        <v>10</v>
      </c>
      <c r="G4" t="s">
        <v>11</v>
      </c>
      <c r="H4" t="s">
        <v>12</v>
      </c>
      <c r="I4" s="10">
        <v>0</v>
      </c>
      <c r="O4" s="133" t="s">
        <v>13</v>
      </c>
      <c r="P4" s="133"/>
      <c r="Q4" s="11" t="s">
        <v>14</v>
      </c>
      <c r="R4" s="11" t="s">
        <v>15</v>
      </c>
      <c r="S4" s="133" t="s">
        <v>16</v>
      </c>
      <c r="T4" s="133"/>
      <c r="U4" s="133"/>
      <c r="V4" s="133"/>
      <c r="W4" s="133"/>
      <c r="X4" s="133"/>
      <c r="Y4" s="12"/>
      <c r="Z4" s="12"/>
      <c r="AA4" s="12"/>
      <c r="AB4" s="12"/>
    </row>
    <row r="5" spans="1:40" ht="12.75" customHeight="1" x14ac:dyDescent="0.2">
      <c r="A5" s="4">
        <f ca="1">MAX($C$15:$C$145)</f>
        <v>4</v>
      </c>
      <c r="B5" s="4"/>
      <c r="C5" s="4"/>
      <c r="F5" s="10">
        <f>IF(BDI.Opcao="DESONERADO",[1]BDI!$S$30,[1]BDI!$S$29)</f>
        <v>0.2223</v>
      </c>
      <c r="G5" s="10">
        <f>IF(BDI.Opcao="DESONERADO",[1]BDI!$S$70,[1]BDI!$S$69)</f>
        <v>0</v>
      </c>
      <c r="H5" s="10">
        <f>IF(BDI.Opcao="DESONERADO",[1]BDI!$S$110,[1]BDI!$S$109)</f>
        <v>0</v>
      </c>
      <c r="O5" s="130">
        <f>Import.CR</f>
        <v>0</v>
      </c>
      <c r="P5" s="130"/>
      <c r="Q5" s="13">
        <f>Import.SICONV</f>
        <v>0</v>
      </c>
      <c r="R5" s="14" t="str">
        <f>Import.Proponente</f>
        <v>MUNICÍPIO DE LARANJAL</v>
      </c>
      <c r="S5" s="130" t="str">
        <f>Import.Apelido</f>
        <v xml:space="preserve">REFORMA E AMPLIAÇÃO GINASIO </v>
      </c>
      <c r="T5" s="130"/>
      <c r="U5" s="130"/>
      <c r="V5" s="130"/>
      <c r="W5" s="130"/>
      <c r="X5" s="130"/>
      <c r="Y5" s="15"/>
      <c r="Z5" s="15"/>
      <c r="AA5" s="15"/>
      <c r="AB5" s="15"/>
      <c r="AE5" s="134" t="s">
        <v>17</v>
      </c>
      <c r="AF5" s="134"/>
    </row>
    <row r="6" spans="1:40" ht="5.0999999999999996" customHeight="1" x14ac:dyDescent="0.2">
      <c r="A6" s="4"/>
      <c r="B6" s="4"/>
      <c r="C6" s="4"/>
      <c r="H6" s="8"/>
      <c r="O6" s="16"/>
      <c r="P6" s="16"/>
      <c r="Q6" s="17"/>
      <c r="R6" s="17"/>
      <c r="S6" s="16"/>
      <c r="T6" s="16"/>
      <c r="U6" s="16"/>
      <c r="V6" s="16"/>
      <c r="W6" s="16"/>
      <c r="X6" s="16"/>
      <c r="Y6" s="15"/>
      <c r="Z6" s="15"/>
      <c r="AA6" s="15"/>
      <c r="AB6" s="15"/>
      <c r="AC6" s="18"/>
      <c r="AE6" s="19"/>
      <c r="AF6" s="20"/>
    </row>
    <row r="7" spans="1:40" ht="12.75" customHeight="1" x14ac:dyDescent="0.2">
      <c r="H7" s="8"/>
      <c r="O7" s="133" t="s">
        <v>18</v>
      </c>
      <c r="P7" s="133"/>
      <c r="Q7" s="11" t="s">
        <v>19</v>
      </c>
      <c r="R7" s="11" t="str">
        <f>IF(TIPOORCAMENTO="Licitado","NOME DA EMPRESA","DESCRIÇÃO DO LOTE")</f>
        <v>DESCRIÇÃO DO LOTE</v>
      </c>
      <c r="S7" s="135" t="str">
        <f>IF(TIPOORCAMENTO="Licitado","REGIME DE EXECUÇÃO","MUNICÍPIO / UF")</f>
        <v>MUNICÍPIO / UF</v>
      </c>
      <c r="T7" s="135"/>
      <c r="U7" s="135"/>
      <c r="V7" s="21" t="str">
        <f>IF(TIPOORCAMENTO="Licitado","","BDI 1")</f>
        <v>BDI 1</v>
      </c>
      <c r="W7" s="21" t="str">
        <f>IF(TIPOORCAMENTO="Licitado","","BDI 2")</f>
        <v>BDI 2</v>
      </c>
      <c r="X7" s="22" t="str">
        <f>IF(TIPOORCAMENTO="Licitado","Nº CTEF","BDI 3")</f>
        <v>BDI 3</v>
      </c>
      <c r="Y7" s="21"/>
      <c r="Z7" s="21"/>
      <c r="AE7" s="19" t="s">
        <v>20</v>
      </c>
      <c r="AF7" s="20" t="b">
        <v>0</v>
      </c>
      <c r="AJ7" s="126" t="s">
        <v>21</v>
      </c>
      <c r="AL7" s="127" t="s">
        <v>22</v>
      </c>
    </row>
    <row r="8" spans="1:40" ht="12.75" customHeight="1" x14ac:dyDescent="0.2">
      <c r="A8" s="4"/>
      <c r="B8" s="4"/>
      <c r="C8" s="4"/>
      <c r="F8" s="128" t="e">
        <f ca="1">IF(LEN(INFO("release"))&gt;5,"'Referência "&amp;Excel_BuiltIn_Database&amp;".xls'#Banco.$a5:$a$65536","'[Referência "&amp;Excel_BuiltIn_Database&amp;".xls]Banco'!$a5:$a$65536")</f>
        <v>#VALUE!</v>
      </c>
      <c r="G8" s="128"/>
      <c r="H8" s="128"/>
      <c r="I8" s="128"/>
      <c r="J8" s="128"/>
      <c r="K8" s="128"/>
      <c r="L8" s="129" t="s">
        <v>23</v>
      </c>
      <c r="O8" s="130" t="e">
        <f ca="1">IF(ISERROR(INDIRECT($F$9)),"(N/D: 'Referência "&amp;Excel_BuiltIn_Database&amp;".xls)",INDIRECT($F$9))</f>
        <v>#VALUE!</v>
      </c>
      <c r="P8" s="130"/>
      <c r="Q8" s="23" t="e">
        <f ca="1">TEXT(Import.DataBase,"mm-aa")&amp;IF(DESONERACAO="Sim"," (DES.)"," (N DES.)")</f>
        <v>#VALUE!</v>
      </c>
      <c r="R8" s="14" t="str">
        <f>IF(TIPOORCAMENTO="Licitado",Import.empresa,Import.DescLote)</f>
        <v xml:space="preserve">REFORMA E AMPLIAÇÃO GINASIO </v>
      </c>
      <c r="S8" s="131" t="str">
        <f>IF(TIPOORCAMENTO="Licitado",Import.RegimeExecução,Import.Município)</f>
        <v>LARANJAL/PR</v>
      </c>
      <c r="T8" s="131"/>
      <c r="U8" s="131"/>
      <c r="V8" s="24" t="str">
        <f>IF(TIPOORCAMENTO="Licitado","",TEXT(F5,"0,00%"))</f>
        <v>22,23%</v>
      </c>
      <c r="W8" s="24" t="str">
        <f>IF(TIPOORCAMENTO="Licitado","",TEXT(G5,"0,00%"))</f>
        <v>0,00%</v>
      </c>
      <c r="X8" s="25" t="str">
        <f>IF(TIPOORCAMENTO="Licitado",Import.CTEF,TEXT(H5,"0,00%"))</f>
        <v>0,00%</v>
      </c>
      <c r="Y8" s="129" t="s">
        <v>24</v>
      </c>
      <c r="Z8" s="129" t="s">
        <v>25</v>
      </c>
      <c r="AA8" s="26"/>
      <c r="AB8" s="26"/>
      <c r="AE8" s="19" t="s">
        <v>26</v>
      </c>
      <c r="AF8" s="20" t="b">
        <v>0</v>
      </c>
      <c r="AJ8" s="126"/>
      <c r="AL8" s="127"/>
    </row>
    <row r="9" spans="1:40" ht="12.75" customHeight="1" x14ac:dyDescent="0.2">
      <c r="F9" s="128" t="e">
        <f ca="1">IF(LEN(INFO("release"))&gt;5,"'Referência "&amp;Excel_BuiltIn_Database&amp;".xls'#Banco.$d$3","'[Referência "&amp;Excel_BuiltIn_Database&amp;".xls]Banco'!$d$3")</f>
        <v>#VALUE!</v>
      </c>
      <c r="G9" s="128"/>
      <c r="H9" s="128"/>
      <c r="I9" s="128"/>
      <c r="J9" s="128"/>
      <c r="K9" s="128"/>
      <c r="L9" s="129"/>
      <c r="Y9" s="129"/>
      <c r="Z9" s="129"/>
      <c r="AE9" s="19" t="s">
        <v>27</v>
      </c>
      <c r="AF9" s="20" t="b">
        <v>0</v>
      </c>
      <c r="AJ9" s="126"/>
      <c r="AL9" s="127"/>
    </row>
    <row r="10" spans="1:40" x14ac:dyDescent="0.2">
      <c r="G10" s="8"/>
      <c r="H10" s="8"/>
      <c r="L10" s="129"/>
      <c r="Y10" s="129"/>
      <c r="Z10" s="129"/>
      <c r="AC10" s="27" t="s">
        <v>28</v>
      </c>
      <c r="AE10" s="19" t="s">
        <v>29</v>
      </c>
      <c r="AF10" s="20" t="b">
        <v>0</v>
      </c>
      <c r="AJ10" s="126"/>
      <c r="AL10" s="127"/>
    </row>
    <row r="11" spans="1:40" x14ac:dyDescent="0.2">
      <c r="G11" s="8"/>
      <c r="H11" s="28"/>
      <c r="L11" s="129"/>
      <c r="Y11" s="129"/>
      <c r="Z11" s="129"/>
      <c r="AC11" s="29" t="str">
        <f ca="1">IF(COUNTIF($AC$15:OFFSET($AC$145,-1,0),"DESCRIÇÃO")+COUNTIF($AC$15:OFFSET($AC$145,-1,0),"UNIDADE")+COUNTIF($AC$15:OFFSET($AC$145,-1,0),"SEM VALOR")&gt;0,"NÃO OK","OK")</f>
        <v>OK</v>
      </c>
      <c r="AE11" s="19" t="s">
        <v>30</v>
      </c>
      <c r="AF11" s="20" t="b">
        <v>0</v>
      </c>
      <c r="AJ11" s="126"/>
      <c r="AL11" s="127"/>
    </row>
    <row r="12" spans="1:40" x14ac:dyDescent="0.2">
      <c r="G12" s="8"/>
      <c r="H12" s="8"/>
      <c r="L12" s="129"/>
      <c r="Y12" s="129"/>
      <c r="Z12" s="129"/>
      <c r="AA12" s="132" t="s">
        <v>31</v>
      </c>
      <c r="AB12" s="132"/>
      <c r="AJ12" s="30" t="s">
        <v>32</v>
      </c>
      <c r="AL12" s="31" t="s">
        <v>32</v>
      </c>
    </row>
    <row r="13" spans="1:40" ht="35.1" customHeight="1" x14ac:dyDescent="0.2">
      <c r="A13" s="32" t="s">
        <v>33</v>
      </c>
      <c r="B13" s="32" t="s">
        <v>34</v>
      </c>
      <c r="C13" s="32" t="s">
        <v>35</v>
      </c>
      <c r="D13" s="32" t="s">
        <v>36</v>
      </c>
      <c r="E13" s="32" t="s">
        <v>37</v>
      </c>
      <c r="F13" s="32" t="s">
        <v>38</v>
      </c>
      <c r="G13" s="32" t="s">
        <v>39</v>
      </c>
      <c r="H13" s="32" t="s">
        <v>40</v>
      </c>
      <c r="I13" s="32" t="s">
        <v>41</v>
      </c>
      <c r="J13" s="32" t="s">
        <v>42</v>
      </c>
      <c r="K13" s="32" t="s">
        <v>43</v>
      </c>
      <c r="L13" s="30" t="s">
        <v>32</v>
      </c>
      <c r="M13" s="32" t="s">
        <v>44</v>
      </c>
      <c r="N13" s="33" t="s">
        <v>45</v>
      </c>
      <c r="O13" s="32" t="s">
        <v>46</v>
      </c>
      <c r="P13" s="32" t="s">
        <v>47</v>
      </c>
      <c r="Q13" s="32" t="s">
        <v>48</v>
      </c>
      <c r="R13" s="32" t="s">
        <v>49</v>
      </c>
      <c r="S13" s="34" t="s">
        <v>50</v>
      </c>
      <c r="T13" s="32" t="s">
        <v>20</v>
      </c>
      <c r="U13" s="32" t="str">
        <f>IF(TIPOORCAMENTO="Licitado","","Custo Unitário (sem BDI) (R$)")</f>
        <v>Custo Unitário (sem BDI) (R$)</v>
      </c>
      <c r="V13" s="32" t="str">
        <f>IF(TIPOORCAMENTO="Licitado","","BDI
(%)")</f>
        <v>BDI
(%)</v>
      </c>
      <c r="W13" s="32" t="s">
        <v>51</v>
      </c>
      <c r="X13" s="32" t="s">
        <v>52</v>
      </c>
      <c r="Y13" s="30" t="s">
        <v>32</v>
      </c>
      <c r="Z13" s="30" t="s">
        <v>32</v>
      </c>
      <c r="AA13" s="35" t="s">
        <v>53</v>
      </c>
      <c r="AB13" s="36" t="s">
        <v>54</v>
      </c>
      <c r="AC13" s="32" t="s">
        <v>55</v>
      </c>
      <c r="AD13" s="37" t="s">
        <v>56</v>
      </c>
      <c r="AE13" s="37" t="s">
        <v>57</v>
      </c>
      <c r="AF13" s="37" t="s">
        <v>58</v>
      </c>
      <c r="AG13" s="38" t="s">
        <v>59</v>
      </c>
      <c r="AH13" s="39" t="str">
        <f>IF(TIPOORCAMENTO="LICITADO","Valor BDI Edital","Valor BDI")</f>
        <v>Valor BDI</v>
      </c>
      <c r="AJ13" s="40" t="s">
        <v>20</v>
      </c>
      <c r="AL13" s="40" t="s">
        <v>51</v>
      </c>
      <c r="AM13" s="38" t="s">
        <v>60</v>
      </c>
      <c r="AN13" s="41" t="s">
        <v>61</v>
      </c>
    </row>
    <row r="14" spans="1:40" hidden="1" x14ac:dyDescent="0.2">
      <c r="A14" t="str">
        <f>CHOOSE(1+LOG(1+2*(ORÇAMENTO.Nivel="Meta")+4*(ORÇAMENTO.Nivel="Nível 2")+8*(ORÇAMENTO.Nivel="Nível 3")+16*(ORÇAMENTO.Nivel="Nível 4")+32*(ORÇAMENTO.Nivel="Serviço"),2),0,1,2,3,4,"S")</f>
        <v>S</v>
      </c>
      <c r="B14" t="str">
        <f ca="1">IF(OR(C14="s",C14=0),OFFSET(B14,-1,0),C14)</f>
        <v>Save Nivel</v>
      </c>
      <c r="C14" t="str">
        <f ca="1">IF(OFFSET(C14,-1,0)="L",1,IF(OFFSET(C14,-1,0)=1,2,IF(OR(A14="s",A14=0),"S",IF(AND(OFFSET(C14,-1,0)=2,A14=4),3,IF(AND(OR(OFFSET(C14,-1,0)="s",OFFSET(C14,-1,0)=0),A14&lt;&gt;"s",A14&gt;OFFSET(B14,-1,0)),OFFSET(B14,-1,0),A14)))))</f>
        <v>S</v>
      </c>
      <c r="D14">
        <f ca="1">IF(OR(C14="S",C14=0),0,IF(ISERROR(K14),J14,SMALL(J14:K14,1)))</f>
        <v>0</v>
      </c>
      <c r="E14" t="str">
        <f ca="1">IF($C14=1,OFFSET(E14,-1,0)+MAX(1,COUNTIF([1]QCI!$A$13:$A$24,OFFSET('PLANILHA A LICITAR'!E14,-1,0))),OFFSET(E14,-1,0))</f>
        <v>n1</v>
      </c>
      <c r="F14" t="str">
        <f ca="1">IF($C14=1,0,IF($C14=2,OFFSET(F14,-1,0)+1,OFFSET(F14,-1,0)))</f>
        <v>n2</v>
      </c>
      <c r="G14" t="str">
        <f ca="1">IF(AND($C14&lt;=2,$C14&lt;&gt;0),0,IF($C14=3,OFFSET(G14,-1,0)+1,OFFSET(G14,-1,0)))</f>
        <v>n3</v>
      </c>
      <c r="H14" t="str">
        <f ca="1">IF(AND($C14&lt;=3,$C14&lt;&gt;0),0,IF($C14=4,OFFSET(H14,-1,0)+1,OFFSET(H14,-1,0)))</f>
        <v>n4</v>
      </c>
      <c r="I14" t="e">
        <f ca="1">IF(AND($C14&lt;=4,$C14&lt;&gt;0),0,IF(AND($C14="S",$X14&gt;0),OFFSET(I14,-1,0)+1,OFFSET(I14,-1,0)))</f>
        <v>#VALUE!</v>
      </c>
      <c r="J14">
        <f ca="1">IF(OR($C14="S",$C14=0),0,MATCH(0,OFFSET($D14,1,$C14,ROW($C$145)-ROW($C14)),0))</f>
        <v>0</v>
      </c>
      <c r="K14">
        <f ca="1">IF(OR($C14="S",$C14=0),0,MATCH(OFFSET($D14,0,$C14)+IF($C14&lt;&gt;1,1,COUNTIF([1]QCI!$A$13:$A$24,'PLANILHA A LICITAR'!E14)),OFFSET($D14,1,$C14,ROW($C$145)-ROW($C14)),0))</f>
        <v>0</v>
      </c>
      <c r="L14" s="42" t="e">
        <f ca="1">IF(OR($X14&gt;0,$C14=1,$C14=2,$C14=3,$C14=4),"F","")</f>
        <v>#VALUE!</v>
      </c>
      <c r="M14" s="43" t="s">
        <v>7</v>
      </c>
      <c r="N14" s="44" t="str">
        <f ca="1">CHOOSE(1+LOG(1+2*(C14=1)+4*(C14=2)+8*(C14=3)+16*(C14=4)+32*(C14="S"),2),"","Meta","Nível 2","Nível 3","Nível 4","Serviço")</f>
        <v>Serviço</v>
      </c>
      <c r="O14" s="45" t="e">
        <f ca="1">IF(OR($C14=0,$L14=""),"-",CONCATENATE(E14&amp;".",IF(AND($A$5&gt;=2,$C14&gt;=2),F14&amp;".",""),IF(AND($A$5&gt;=3,$C14&gt;=3),G14&amp;".",""),IF(AND($A$5&gt;=4,$C14&gt;=4),H14&amp;".",""),IF($C14="S",I14&amp;".","")))</f>
        <v>#VALUE!</v>
      </c>
      <c r="P14" s="46" t="s">
        <v>62</v>
      </c>
      <c r="Q14" s="47"/>
      <c r="R14" s="48" t="e">
        <f ca="1">IF($C14="S",REFERENCIA.Descricao,"(digite a descrição aqui)")</f>
        <v>#VALUE!</v>
      </c>
      <c r="S14" s="49" t="str">
        <f ca="1">REFERENCIA.Unidade</f>
        <v>-</v>
      </c>
      <c r="T14" s="50" t="e">
        <f ca="1">OFFSET([1]CÁLCULO!H$15,ROW($T14)-ROW(T$15),0)</f>
        <v>#VALUE!</v>
      </c>
      <c r="U14" s="51"/>
      <c r="V14" s="52" t="s">
        <v>10</v>
      </c>
      <c r="W14" s="50">
        <f ca="1">IF($C14="S",ROUND(IF(TIPOORCAMENTO="Proposto",ORÇAMENTO.CustoUnitario*(1+$AH14),ORÇAMENTO.PrecoUnitarioLicitado),15-13*$AF$10),0)</f>
        <v>0</v>
      </c>
      <c r="X14" s="53" t="e">
        <f ca="1">IF($C14="S",VTOTAL1,IF($C14=0,0,ROUND(SomaAgrup,15-13*$AF$11)))</f>
        <v>#VALUE!</v>
      </c>
      <c r="Y14" s="54" t="s">
        <v>63</v>
      </c>
      <c r="Z14" t="e">
        <f ca="1">IF(AND($C14="S",$X14&gt;0),IF(ISBLANK($Y14),"RA",LEFT($Y14,2)),"")</f>
        <v>#VALUE!</v>
      </c>
      <c r="AA14" s="55" t="e">
        <f ca="1">IF($C14="S",IF($Z14="CP",$X14,IF($Z14="RA",(($X14)*[1]QCI!$AA$3),0)),SomaAgrup)</f>
        <v>#VALUE!</v>
      </c>
      <c r="AB14" s="56" t="e">
        <f ca="1">IF($C14="S",IF($Z14="OU",ROUND($X14,2),0),SomaAgrup)</f>
        <v>#VALUE!</v>
      </c>
      <c r="AC14" s="57" t="e">
        <f ca="1">IF($N14="","",IF(ORÇAMENTO.Descricao="","DESCRIÇÃO",IF(AND($C14="S",ORÇAMENTO.Unidade=""),"UNIDADE",IF($X14&lt;0,"VALOR NEGATIVO",IF(OR(AND(TIPOORCAMENTO="Proposto",$AG14&lt;&gt;"",$AG14&gt;0,ORÇAMENTO.CustoUnitario&gt;$AG14),AND(TIPOORCAMENTO="LICITADO",ORÇAMENTO.PrecoUnitarioLicitado&gt;$AN14)),"ACIMA REF.","")))))</f>
        <v>#VALUE!</v>
      </c>
      <c r="AD14" t="str">
        <f ca="1">IF(C14&lt;=CRONO.NivelExibicao,MAX($AD$15:OFFSET(AD14,-1,0))+IF($C14&lt;&gt;1,1,MAX(1,COUNTIF([1]QCI!$A$13:$A$24,OFFSET($E14,-1,0)))),"")</f>
        <v/>
      </c>
      <c r="AE14" s="4" t="b">
        <f ca="1">IF(AND($C14="S",ORÇAMENTO.CodBarra&lt;&gt;""),IF(ORÇAMENTO.Fonte="",ORÇAMENTO.CodBarra,CONCATENATE(ORÇAMENTO.Fonte," ",ORÇAMENTO.CodBarra)))</f>
        <v>0</v>
      </c>
      <c r="AF14" s="58" t="e">
        <f ca="1">IF(ISERROR(INDIRECT(ORÇAMENTO.BancoRef)),"(abra o arquivo 'Referência "&amp;Excel_BuiltIn_Database&amp;".xls)",IF(OR($C14&lt;&gt;"S",ORÇAMENTO.CodBarra=""),"(Sem Código)",IF(ISERROR(MATCH($AE14,INDIRECT(ORÇAMENTO.BancoRef),0)),"(Código não identificado nas referências)",MATCH($AE14,INDIRECT(ORÇAMENTO.BancoRef),0))))</f>
        <v>#VALUE!</v>
      </c>
      <c r="AG14" s="59" t="e">
        <f ca="1">ROUND(IF(DESONERACAO="sim",REFERENCIA.Desonerado,REFERENCIA.NaoDesonerado),2)</f>
        <v>#VALUE!</v>
      </c>
      <c r="AH14" s="60">
        <f>ROUND(IF(ISNUMBER(ORÇAMENTO.OpcaoBDI),ORÇAMENTO.OpcaoBDI,IF(LEFT(ORÇAMENTO.OpcaoBDI,3)="BDI",HLOOKUP(ORÇAMENTO.OpcaoBDI,$F$4:$H$5,2,FALSE),0)),15-11*$AF$9)</f>
        <v>0.2223</v>
      </c>
      <c r="AJ14" s="61"/>
      <c r="AL14" s="62"/>
      <c r="AM14" s="63" t="e">
        <f t="shared" ref="AM14:AM139" ca="1" si="0">$X14</f>
        <v>#VALUE!</v>
      </c>
      <c r="AN14" s="64">
        <f>ROUND(ORÇAMENTO.CustoUnitario*(1+$AH14),2)</f>
        <v>0</v>
      </c>
    </row>
    <row r="15" spans="1:40" x14ac:dyDescent="0.2">
      <c r="A15">
        <v>0</v>
      </c>
      <c r="C15" t="s">
        <v>64</v>
      </c>
      <c r="D15">
        <f ca="1">COUNTA(OFFSET(D15,1,0):D$145)</f>
        <v>129</v>
      </c>
      <c r="E15">
        <v>0</v>
      </c>
      <c r="L15" s="42" t="s">
        <v>65</v>
      </c>
      <c r="M15" s="65" t="str">
        <f>IF(TIPOORCAMENTO="LICITADO","CTEF","LOTE")</f>
        <v>LOTE</v>
      </c>
      <c r="N15" s="65" t="str">
        <f>IF(TIPOORCAMENTO="LICITADO","CTEF","LOTE")</f>
        <v>LOTE</v>
      </c>
      <c r="O15" s="120" t="str">
        <f>Import.DescLote</f>
        <v xml:space="preserve">REFORMA E AMPLIAÇÃO GINASIO </v>
      </c>
      <c r="P15" s="120"/>
      <c r="Q15" s="120"/>
      <c r="R15" s="120"/>
      <c r="S15" s="66"/>
      <c r="T15" s="67"/>
      <c r="U15" s="67"/>
      <c r="V15" s="68"/>
      <c r="W15" s="67"/>
      <c r="X15" s="69" t="e">
        <f ca="1">SUMIF(OFFSET($C15,1,0,ROW(X145)-ROW(X15)-1),"S",OFFSET(X15,1,0,ROW(X145)-ROW(X15)-1))</f>
        <v>#VALUE!</v>
      </c>
      <c r="Y15" s="4"/>
      <c r="Z15" t="e">
        <f ca="1">IF(AND($C15="S",$X15&gt;0),LEFT($Y15,2),"")</f>
        <v>#VALUE!</v>
      </c>
      <c r="AA15" s="70" t="e">
        <f ca="1">SUMIF(OFFSET($C15,1,0,ROW(AA145)-ROW(AA15)-1),"S",OFFSET(AA15,1,0,ROW(AA145)-ROW(AA15)-1))</f>
        <v>#VALUE!</v>
      </c>
      <c r="AB15" s="71" t="e">
        <f ca="1">SUMIF(OFFSET($C15,1,0,ROW(AB145)-ROW(AB15)-1),"S",OFFSET(AB15,1,0,ROW(AB145)-ROW(AB15)-1))</f>
        <v>#VALUE!</v>
      </c>
      <c r="AC15" s="57"/>
      <c r="AG15" s="72"/>
      <c r="AH15" s="73"/>
      <c r="AJ15" s="74"/>
      <c r="AL15" s="75"/>
      <c r="AM15" s="76" t="e">
        <f t="shared" ca="1" si="0"/>
        <v>#VALUE!</v>
      </c>
      <c r="AN15" s="77"/>
    </row>
    <row r="16" spans="1:40" x14ac:dyDescent="0.2">
      <c r="A16">
        <f t="shared" ref="A16:A22" si="1">CHOOSE(1+LOG(1+2*(ORÇAMENTO.Nivel="Meta")+4*(ORÇAMENTO.Nivel="Nível 2")+8*(ORÇAMENTO.Nivel="Nível 3")+16*(ORÇAMENTO.Nivel="Nível 4")+32*(ORÇAMENTO.Nivel="Serviço"),2),0,1,2,3,4,"S")</f>
        <v>1</v>
      </c>
      <c r="B16">
        <f t="shared" ref="B16:B22" ca="1" si="2">IF(OR(C16="s",C16=0),OFFSET(B16,-1,0),C16)</f>
        <v>1</v>
      </c>
      <c r="C16">
        <f t="shared" ref="C16:C22" ca="1" si="3">IF(OFFSET(C16,-1,0)="L",1,IF(OFFSET(C16,-1,0)=1,2,IF(OR(A16="s",A16=0),"S",IF(AND(OFFSET(C16,-1,0)=2,A16=4),3,IF(AND(OR(OFFSET(C16,-1,0)="s",OFFSET(C16,-1,0)=0),A16&lt;&gt;"s",A16&gt;OFFSET(B16,-1,0)),OFFSET(B16,-1,0),A16)))))</f>
        <v>1</v>
      </c>
      <c r="D16">
        <f t="shared" ref="D16:D22" ca="1" si="4">IF(OR(C16="S",C16=0),0,IF(ISERROR(K16),J16,SMALL(J16:K16,1)))</f>
        <v>129</v>
      </c>
      <c r="E16" t="e">
        <f ca="1">IF($C16=1,OFFSET(E16,-1,0)+MAX(1,COUNTIF([1]QCI!$A$13:$A$24,OFFSET('PLANILHA A LICITAR'!E16,-1,0))),OFFSET(E16,-1,0))</f>
        <v>#VALUE!</v>
      </c>
      <c r="F16">
        <f t="shared" ref="F16:F22" ca="1" si="5">IF($C16=1,0,IF($C16=2,OFFSET(F16,-1,0)+1,OFFSET(F16,-1,0)))</f>
        <v>0</v>
      </c>
      <c r="G16">
        <f t="shared" ref="G16:G22" ca="1" si="6">IF(AND($C16&lt;=2,$C16&lt;&gt;0),0,IF($C16=3,OFFSET(G16,-1,0)+1,OFFSET(G16,-1,0)))</f>
        <v>0</v>
      </c>
      <c r="H16">
        <f t="shared" ref="H16:H22" ca="1" si="7">IF(AND($C16&lt;=3,$C16&lt;&gt;0),0,IF($C16=4,OFFSET(H16,-1,0)+1,OFFSET(H16,-1,0)))</f>
        <v>0</v>
      </c>
      <c r="I16">
        <f t="shared" ref="I16:I22" ca="1" si="8">IF(AND($C16&lt;=4,$C16&lt;&gt;0),0,IF(AND($C16="S",$X16&gt;0),OFFSET(I16,-1,0)+1,OFFSET(I16,-1,0)))</f>
        <v>0</v>
      </c>
      <c r="J16">
        <f t="shared" ref="J16:J79" ca="1" si="9">IF(OR($C16="S",$C16=0),0,MATCH(0,OFFSET($D16,1,$C16,ROW($C$145)-ROW($C16)),0))</f>
        <v>129</v>
      </c>
      <c r="K16" t="e">
        <f ca="1">IF(OR($C16="S",$C16=0),0,MATCH(OFFSET($D16,0,$C16)+IF($C16&lt;&gt;1,1,COUNTIF([1]QCI!$A$13:$A$24,'PLANILHA A LICITAR'!E16)),OFFSET($D16,1,$C16,ROW($C$145)-ROW($C16)),0))</f>
        <v>#VALUE!</v>
      </c>
      <c r="L16" s="42" t="e">
        <f t="shared" ref="L16:L22" ca="1" si="10">IF(OR($X16&gt;0,$C16=1,$C16=2,$C16=3,$C16=4),"F","")</f>
        <v>#VALUE!</v>
      </c>
      <c r="M16" s="43" t="s">
        <v>3</v>
      </c>
      <c r="N16" s="44" t="str">
        <f t="shared" ref="N16:N22" ca="1" si="11">CHOOSE(1+LOG(1+2*(C16=1)+4*(C16=2)+8*(C16=3)+16*(C16=4)+32*(C16="S"),2),"","Meta","Nível 2","Nível 3","Nível 4","Serviço")</f>
        <v>Meta</v>
      </c>
      <c r="O16" s="45" t="e">
        <f t="shared" ref="O16:O22" ca="1" si="12">IF(OR($C16=0,$L16=""),"-",CONCATENATE(E16&amp;".",IF(AND($A$5&gt;=2,$C16&gt;=2),F16&amp;".",""),IF(AND($A$5&gt;=3,$C16&gt;=3),G16&amp;".",""),IF(AND($A$5&gt;=4,$C16&gt;=4),H16&amp;".",""),IF($C16="S",I16&amp;".","")))</f>
        <v>#VALUE!</v>
      </c>
      <c r="P16" s="46" t="s">
        <v>62</v>
      </c>
      <c r="Q16" s="47"/>
      <c r="R16" s="48" t="s">
        <v>66</v>
      </c>
      <c r="S16" s="49" t="s">
        <v>67</v>
      </c>
      <c r="T16" s="50" t="e">
        <f ca="1">OFFSET([1]CÁLCULO!H$15,ROW($T16)-ROW(T$15),0)</f>
        <v>#VALUE!</v>
      </c>
      <c r="U16" s="51"/>
      <c r="V16" s="52" t="s">
        <v>10</v>
      </c>
      <c r="W16" s="50">
        <f t="shared" ref="W16:W22" ca="1" si="13">IF($C16="S",ROUND(IF(TIPOORCAMENTO="Proposto",ORÇAMENTO.CustoUnitario*(1+$AH16),ORÇAMENTO.PrecoUnitarioLicitado),15-13*$AF$10),0)</f>
        <v>0</v>
      </c>
      <c r="X16" s="53" t="e">
        <f t="shared" ref="X16:X22" ca="1" si="14">IF($C16="S",VTOTAL1,IF($C16=0,0,ROUND(SomaAgrup,15-13*$AF$11)))</f>
        <v>#VALUE!</v>
      </c>
      <c r="Y16" s="54" t="s">
        <v>63</v>
      </c>
      <c r="Z16" t="e">
        <f t="shared" ref="Z16:Z22" ca="1" si="15">IF(AND($C16="S",$X16&gt;0),IF(ISBLANK($Y16),"RA",LEFT($Y16,2)),"")</f>
        <v>#VALUE!</v>
      </c>
      <c r="AA16" s="55" t="e">
        <f ca="1">IF($C16="S",IF($Z16="CP",$X16,IF($Z16="RA",(($X16)*[1]QCI!$AA$3),0)),SomaAgrup)</f>
        <v>#VALUE!</v>
      </c>
      <c r="AB16" s="56" t="e">
        <f t="shared" ref="AB16:AB22" ca="1" si="16">IF($C16="S",IF($Z16="OU",ROUND($X16,2),0),SomaAgrup)</f>
        <v>#VALUE!</v>
      </c>
      <c r="AC16" s="57" t="e">
        <f t="shared" ref="AC16:AC22" ca="1" si="17">IF($N16="","",IF(ORÇAMENTO.Descricao="","DESCRIÇÃO",IF(AND($C16="S",ORÇAMENTO.Unidade=""),"UNIDADE",IF($X16&lt;0,"VALOR NEGATIVO",IF(OR(AND(TIPOORCAMENTO="Proposto",$AG16&lt;&gt;"",$AG16&gt;0,ORÇAMENTO.CustoUnitario&gt;$AG16),AND(TIPOORCAMENTO="LICITADO",ORÇAMENTO.PrecoUnitarioLicitado&gt;$AN16)),"ACIMA REF.","")))))</f>
        <v>#VALUE!</v>
      </c>
      <c r="AD16" t="e">
        <f ca="1">IF(C16&lt;=CRONO.NivelExibicao,MAX($AD$15:OFFSET(AD16,-1,0))+IF($C16&lt;&gt;1,1,MAX(1,COUNTIF([1]QCI!$A$13:$A$24,OFFSET($E16,-1,0)))),"")</f>
        <v>#VALUE!</v>
      </c>
      <c r="AE16" s="4" t="b">
        <f t="shared" ref="AE16:AE22" ca="1" si="18">IF(AND($C16="S",ORÇAMENTO.CodBarra&lt;&gt;""),IF(ORÇAMENTO.Fonte="",ORÇAMENTO.CodBarra,CONCATENATE(ORÇAMENTO.Fonte," ",ORÇAMENTO.CodBarra)))</f>
        <v>0</v>
      </c>
      <c r="AF16" s="58" t="e">
        <f t="shared" ref="AF16:AF22" ca="1" si="19">IF(ISERROR(INDIRECT(ORÇAMENTO.BancoRef)),"(abra o arquivo 'Referência "&amp;Excel_BuiltIn_Database&amp;".xls)",IF(OR($C16&lt;&gt;"S",ORÇAMENTO.CodBarra=""),"(Sem Código)",IF(ISERROR(MATCH($AE16,INDIRECT(ORÇAMENTO.BancoRef),0)),"(Código não identificado nas referências)",MATCH($AE16,INDIRECT(ORÇAMENTO.BancoRef),0))))</f>
        <v>#VALUE!</v>
      </c>
      <c r="AG16" s="59" t="e">
        <f t="shared" ref="AG16:AG22" ca="1" si="20">ROUND(IF(DESONERACAO="sim",REFERENCIA.Desonerado,REFERENCIA.NaoDesonerado),2)</f>
        <v>#VALUE!</v>
      </c>
      <c r="AH16" s="60">
        <f t="shared" ref="AH16:AH22" si="21">ROUND(IF(ISNUMBER(ORÇAMENTO.OpcaoBDI),ORÇAMENTO.OpcaoBDI,IF(LEFT(ORÇAMENTO.OpcaoBDI,3)="BDI",HLOOKUP(ORÇAMENTO.OpcaoBDI,$F$4:$H$5,2,FALSE),0)),15-11*$AF$9)</f>
        <v>0.2223</v>
      </c>
      <c r="AJ16" s="61"/>
      <c r="AL16" s="62"/>
      <c r="AM16" s="63" t="e">
        <f t="shared" ca="1" si="0"/>
        <v>#VALUE!</v>
      </c>
      <c r="AN16" s="64">
        <f t="shared" ref="AN16:AN22" si="22">ROUND(ORÇAMENTO.CustoUnitario*(1+$AH16),2)</f>
        <v>0</v>
      </c>
    </row>
    <row r="17" spans="1:40" x14ac:dyDescent="0.2">
      <c r="A17">
        <f t="shared" si="1"/>
        <v>2</v>
      </c>
      <c r="B17">
        <f t="shared" ca="1" si="2"/>
        <v>2</v>
      </c>
      <c r="C17">
        <f t="shared" ca="1" si="3"/>
        <v>2</v>
      </c>
      <c r="D17">
        <f t="shared" ca="1" si="4"/>
        <v>28</v>
      </c>
      <c r="E17" t="e">
        <f ca="1">IF($C17=1,OFFSET(E17,-1,0)+MAX(1,COUNTIF([1]QCI!$A$13:$A$24,OFFSET('PLANILHA A LICITAR'!E17,-1,0))),OFFSET(E17,-1,0))</f>
        <v>#VALUE!</v>
      </c>
      <c r="F17">
        <f t="shared" ca="1" si="5"/>
        <v>1</v>
      </c>
      <c r="G17">
        <f t="shared" ca="1" si="6"/>
        <v>0</v>
      </c>
      <c r="H17">
        <f t="shared" ca="1" si="7"/>
        <v>0</v>
      </c>
      <c r="I17">
        <f t="shared" ca="1" si="8"/>
        <v>0</v>
      </c>
      <c r="J17">
        <f t="shared" ca="1" si="9"/>
        <v>128</v>
      </c>
      <c r="K17">
        <f ca="1">IF(OR($C17="S",$C17=0),0,MATCH(OFFSET($D17,0,$C17)+IF($C17&lt;&gt;1,1,COUNTIF([1]QCI!$A$13:$A$24,'PLANILHA A LICITAR'!E17)),OFFSET($D17,1,$C17,ROW($C$145)-ROW($C17)),0))</f>
        <v>28</v>
      </c>
      <c r="L17" s="42" t="e">
        <f t="shared" ca="1" si="10"/>
        <v>#VALUE!</v>
      </c>
      <c r="M17" s="43" t="s">
        <v>4</v>
      </c>
      <c r="N17" s="44" t="str">
        <f t="shared" ca="1" si="11"/>
        <v>Nível 2</v>
      </c>
      <c r="O17" s="45" t="e">
        <f t="shared" ca="1" si="12"/>
        <v>#VALUE!</v>
      </c>
      <c r="P17" s="46" t="s">
        <v>62</v>
      </c>
      <c r="Q17" s="47"/>
      <c r="R17" s="48" t="s">
        <v>68</v>
      </c>
      <c r="S17" s="49" t="s">
        <v>67</v>
      </c>
      <c r="T17" s="50" t="e">
        <f ca="1">OFFSET([1]CÁLCULO!H$15,ROW($T17)-ROW(T$15),0)</f>
        <v>#VALUE!</v>
      </c>
      <c r="U17" s="51"/>
      <c r="V17" s="52" t="s">
        <v>10</v>
      </c>
      <c r="W17" s="50">
        <f t="shared" ca="1" si="13"/>
        <v>0</v>
      </c>
      <c r="X17" s="53" t="e">
        <f t="shared" ca="1" si="14"/>
        <v>#VALUE!</v>
      </c>
      <c r="Y17" s="54" t="s">
        <v>63</v>
      </c>
      <c r="Z17" t="e">
        <f t="shared" ca="1" si="15"/>
        <v>#VALUE!</v>
      </c>
      <c r="AA17" s="55" t="e">
        <f ca="1">IF($C17="S",IF($Z17="CP",$X17,IF($Z17="RA",(($X17)*[1]QCI!$AA$3),0)),SomaAgrup)</f>
        <v>#VALUE!</v>
      </c>
      <c r="AB17" s="56" t="e">
        <f t="shared" ca="1" si="16"/>
        <v>#VALUE!</v>
      </c>
      <c r="AC17" s="57" t="e">
        <f t="shared" ca="1" si="17"/>
        <v>#VALUE!</v>
      </c>
      <c r="AD17" t="e">
        <f ca="1">IF(C17&lt;=CRONO.NivelExibicao,MAX($AD$15:OFFSET(AD17,-1,0))+IF($C17&lt;&gt;1,1,MAX(1,COUNTIF([1]QCI!$A$13:$A$24,OFFSET($E17,-1,0)))),"")</f>
        <v>#VALUE!</v>
      </c>
      <c r="AE17" s="4" t="b">
        <f t="shared" ca="1" si="18"/>
        <v>0</v>
      </c>
      <c r="AF17" s="58" t="e">
        <f t="shared" ca="1" si="19"/>
        <v>#VALUE!</v>
      </c>
      <c r="AG17" s="59" t="e">
        <f t="shared" ca="1" si="20"/>
        <v>#VALUE!</v>
      </c>
      <c r="AH17" s="60">
        <f t="shared" si="21"/>
        <v>0.2223</v>
      </c>
      <c r="AJ17" s="61"/>
      <c r="AL17" s="62"/>
      <c r="AM17" s="63" t="e">
        <f t="shared" ca="1" si="0"/>
        <v>#VALUE!</v>
      </c>
      <c r="AN17" s="64">
        <f t="shared" si="22"/>
        <v>0</v>
      </c>
    </row>
    <row r="18" spans="1:40" x14ac:dyDescent="0.2">
      <c r="A18">
        <f t="shared" si="1"/>
        <v>3</v>
      </c>
      <c r="B18">
        <f t="shared" ca="1" si="2"/>
        <v>3</v>
      </c>
      <c r="C18">
        <f t="shared" ca="1" si="3"/>
        <v>3</v>
      </c>
      <c r="D18">
        <f t="shared" ca="1" si="4"/>
        <v>9</v>
      </c>
      <c r="E18" t="e">
        <f ca="1">IF($C18=1,OFFSET(E18,-1,0)+MAX(1,COUNTIF([1]QCI!$A$13:$A$24,OFFSET('PLANILHA A LICITAR'!E18,-1,0))),OFFSET(E18,-1,0))</f>
        <v>#VALUE!</v>
      </c>
      <c r="F18">
        <f t="shared" ca="1" si="5"/>
        <v>1</v>
      </c>
      <c r="G18">
        <f t="shared" ca="1" si="6"/>
        <v>1</v>
      </c>
      <c r="H18">
        <f t="shared" ca="1" si="7"/>
        <v>0</v>
      </c>
      <c r="I18">
        <f t="shared" ca="1" si="8"/>
        <v>0</v>
      </c>
      <c r="J18">
        <f t="shared" ca="1" si="9"/>
        <v>27</v>
      </c>
      <c r="K18">
        <f ca="1">IF(OR($C18="S",$C18=0),0,MATCH(OFFSET($D18,0,$C18)+IF($C18&lt;&gt;1,1,COUNTIF([1]QCI!$A$13:$A$24,'PLANILHA A LICITAR'!E18)),OFFSET($D18,1,$C18,ROW($C$145)-ROW($C18)),0))</f>
        <v>9</v>
      </c>
      <c r="L18" s="42" t="e">
        <f t="shared" ca="1" si="10"/>
        <v>#VALUE!</v>
      </c>
      <c r="M18" s="43" t="s">
        <v>5</v>
      </c>
      <c r="N18" s="44" t="str">
        <f t="shared" ca="1" si="11"/>
        <v>Nível 3</v>
      </c>
      <c r="O18" s="45" t="e">
        <f t="shared" ca="1" si="12"/>
        <v>#VALUE!</v>
      </c>
      <c r="P18" s="46" t="s">
        <v>62</v>
      </c>
      <c r="Q18" s="47"/>
      <c r="R18" s="48" t="s">
        <v>69</v>
      </c>
      <c r="S18" s="49" t="s">
        <v>67</v>
      </c>
      <c r="T18" s="50" t="e">
        <f ca="1">OFFSET([1]CÁLCULO!H$15,ROW($T18)-ROW(T$15),0)</f>
        <v>#VALUE!</v>
      </c>
      <c r="U18" s="51"/>
      <c r="V18" s="52" t="s">
        <v>10</v>
      </c>
      <c r="W18" s="50">
        <f t="shared" ca="1" si="13"/>
        <v>0</v>
      </c>
      <c r="X18" s="53" t="e">
        <f t="shared" ca="1" si="14"/>
        <v>#VALUE!</v>
      </c>
      <c r="Y18" s="54" t="s">
        <v>63</v>
      </c>
      <c r="Z18" t="e">
        <f t="shared" ca="1" si="15"/>
        <v>#VALUE!</v>
      </c>
      <c r="AA18" s="55" t="e">
        <f ca="1">IF($C18="S",IF($Z18="CP",$X18,IF($Z18="RA",(($X18)*[1]QCI!$AA$3),0)),SomaAgrup)</f>
        <v>#VALUE!</v>
      </c>
      <c r="AB18" s="56" t="e">
        <f t="shared" ca="1" si="16"/>
        <v>#VALUE!</v>
      </c>
      <c r="AC18" s="57" t="e">
        <f t="shared" ca="1" si="17"/>
        <v>#VALUE!</v>
      </c>
      <c r="AD18" t="e">
        <f ca="1">IF(C18&lt;=CRONO.NivelExibicao,MAX($AD$15:OFFSET(AD18,-1,0))+IF($C18&lt;&gt;1,1,MAX(1,COUNTIF([1]QCI!$A$13:$A$24,OFFSET($E18,-1,0)))),"")</f>
        <v>#VALUE!</v>
      </c>
      <c r="AE18" s="4" t="b">
        <f t="shared" ca="1" si="18"/>
        <v>0</v>
      </c>
      <c r="AF18" s="58" t="e">
        <f t="shared" ca="1" si="19"/>
        <v>#VALUE!</v>
      </c>
      <c r="AG18" s="59" t="e">
        <f t="shared" ca="1" si="20"/>
        <v>#VALUE!</v>
      </c>
      <c r="AH18" s="60">
        <f t="shared" si="21"/>
        <v>0.2223</v>
      </c>
      <c r="AJ18" s="61"/>
      <c r="AL18" s="62"/>
      <c r="AM18" s="63" t="e">
        <f t="shared" ca="1" si="0"/>
        <v>#VALUE!</v>
      </c>
      <c r="AN18" s="64">
        <f t="shared" si="22"/>
        <v>0</v>
      </c>
    </row>
    <row r="19" spans="1:40" ht="38.25" x14ac:dyDescent="0.2">
      <c r="A19" t="str">
        <f t="shared" si="1"/>
        <v>S</v>
      </c>
      <c r="B19">
        <f t="shared" ca="1" si="2"/>
        <v>3</v>
      </c>
      <c r="C19" t="str">
        <f t="shared" ca="1" si="3"/>
        <v>S</v>
      </c>
      <c r="D19">
        <f t="shared" ca="1" si="4"/>
        <v>0</v>
      </c>
      <c r="E19" t="e">
        <f ca="1">IF($C19=1,OFFSET(E19,-1,0)+MAX(1,COUNTIF([1]QCI!$A$13:$A$24,OFFSET('PLANILHA A LICITAR'!E19,-1,0))),OFFSET(E19,-1,0))</f>
        <v>#VALUE!</v>
      </c>
      <c r="F19">
        <f t="shared" ca="1" si="5"/>
        <v>1</v>
      </c>
      <c r="G19">
        <f t="shared" ca="1" si="6"/>
        <v>1</v>
      </c>
      <c r="H19">
        <f t="shared" ca="1" si="7"/>
        <v>0</v>
      </c>
      <c r="I19" t="e">
        <f t="shared" ca="1" si="8"/>
        <v>#VALUE!</v>
      </c>
      <c r="J19">
        <f t="shared" ca="1" si="9"/>
        <v>0</v>
      </c>
      <c r="K19">
        <f ca="1">IF(OR($C19="S",$C19=0),0,MATCH(OFFSET($D19,0,$C19)+IF($C19&lt;&gt;1,1,COUNTIF([1]QCI!$A$13:$A$24,'PLANILHA A LICITAR'!E19)),OFFSET($D19,1,$C19,ROW($C$145)-ROW($C19)),0))</f>
        <v>0</v>
      </c>
      <c r="L19" s="42" t="e">
        <f t="shared" ca="1" si="10"/>
        <v>#VALUE!</v>
      </c>
      <c r="M19" s="43" t="s">
        <v>7</v>
      </c>
      <c r="N19" s="44" t="str">
        <f t="shared" ca="1" si="11"/>
        <v>Serviço</v>
      </c>
      <c r="O19" s="45" t="e">
        <f t="shared" ca="1" si="12"/>
        <v>#VALUE!</v>
      </c>
      <c r="P19" s="46" t="s">
        <v>70</v>
      </c>
      <c r="Q19" s="47">
        <v>4813</v>
      </c>
      <c r="R19" s="48" t="s">
        <v>71</v>
      </c>
      <c r="S19" s="49" t="s">
        <v>72</v>
      </c>
      <c r="T19" s="50" t="e">
        <f ca="1">OFFSET([1]CÁLCULO!H$15,ROW($T19)-ROW(T$15),0)</f>
        <v>#VALUE!</v>
      </c>
      <c r="U19" s="51">
        <v>320</v>
      </c>
      <c r="V19" s="52" t="s">
        <v>10</v>
      </c>
      <c r="W19" s="50">
        <f t="shared" ca="1" si="13"/>
        <v>391.13600000000002</v>
      </c>
      <c r="X19" s="53" t="e">
        <f t="shared" ca="1" si="14"/>
        <v>#VALUE!</v>
      </c>
      <c r="Y19" s="54" t="s">
        <v>63</v>
      </c>
      <c r="Z19" t="e">
        <f t="shared" ca="1" si="15"/>
        <v>#VALUE!</v>
      </c>
      <c r="AA19" s="55" t="e">
        <f ca="1">IF($C19="S",IF($Z19="CP",$X19,IF($Z19="RA",(($X19)*[1]QCI!$AA$3),0)),SomaAgrup)</f>
        <v>#VALUE!</v>
      </c>
      <c r="AB19" s="56" t="e">
        <f t="shared" ca="1" si="16"/>
        <v>#VALUE!</v>
      </c>
      <c r="AC19" s="57" t="e">
        <f t="shared" ca="1" si="17"/>
        <v>#VALUE!</v>
      </c>
      <c r="AD19" t="str">
        <f ca="1">IF(C19&lt;=CRONO.NivelExibicao,MAX($AD$15:OFFSET(AD19,-1,0))+IF($C19&lt;&gt;1,1,MAX(1,COUNTIF([1]QCI!$A$13:$A$24,OFFSET($E19,-1,0)))),"")</f>
        <v/>
      </c>
      <c r="AE19" s="4" t="str">
        <f t="shared" ca="1" si="18"/>
        <v>SINAPI-I 4813</v>
      </c>
      <c r="AF19" s="58" t="e">
        <f t="shared" ca="1" si="19"/>
        <v>#VALUE!</v>
      </c>
      <c r="AG19" s="59" t="e">
        <f t="shared" ca="1" si="20"/>
        <v>#VALUE!</v>
      </c>
      <c r="AH19" s="60">
        <f t="shared" si="21"/>
        <v>0.2223</v>
      </c>
      <c r="AJ19" s="61">
        <v>4.5</v>
      </c>
      <c r="AL19" s="62">
        <v>390.35333329999997</v>
      </c>
      <c r="AM19" s="63" t="e">
        <f t="shared" ca="1" si="0"/>
        <v>#VALUE!</v>
      </c>
      <c r="AN19" s="64">
        <f t="shared" si="22"/>
        <v>391.14</v>
      </c>
    </row>
    <row r="20" spans="1:40" ht="25.5" x14ac:dyDescent="0.2">
      <c r="A20" t="str">
        <f t="shared" si="1"/>
        <v>S</v>
      </c>
      <c r="B20">
        <f t="shared" ca="1" si="2"/>
        <v>3</v>
      </c>
      <c r="C20" t="str">
        <f t="shared" ca="1" si="3"/>
        <v>S</v>
      </c>
      <c r="D20">
        <f t="shared" ca="1" si="4"/>
        <v>0</v>
      </c>
      <c r="E20" t="e">
        <f ca="1">IF($C20=1,OFFSET(E20,-1,0)+MAX(1,COUNTIF([1]QCI!$A$13:$A$24,OFFSET('PLANILHA A LICITAR'!E20,-1,0))),OFFSET(E20,-1,0))</f>
        <v>#VALUE!</v>
      </c>
      <c r="F20">
        <f t="shared" ca="1" si="5"/>
        <v>1</v>
      </c>
      <c r="G20">
        <f t="shared" ca="1" si="6"/>
        <v>1</v>
      </c>
      <c r="H20">
        <f t="shared" ca="1" si="7"/>
        <v>0</v>
      </c>
      <c r="I20" t="e">
        <f t="shared" ca="1" si="8"/>
        <v>#VALUE!</v>
      </c>
      <c r="J20">
        <f t="shared" ca="1" si="9"/>
        <v>0</v>
      </c>
      <c r="K20">
        <f ca="1">IF(OR($C20="S",$C20=0),0,MATCH(OFFSET($D20,0,$C20)+IF($C20&lt;&gt;1,1,COUNTIF([1]QCI!$A$13:$A$24,'PLANILHA A LICITAR'!E20)),OFFSET($D20,1,$C20,ROW($C$145)-ROW($C20)),0))</f>
        <v>0</v>
      </c>
      <c r="L20" s="42" t="e">
        <f t="shared" ca="1" si="10"/>
        <v>#VALUE!</v>
      </c>
      <c r="M20" s="43" t="s">
        <v>7</v>
      </c>
      <c r="N20" s="44" t="str">
        <f t="shared" ca="1" si="11"/>
        <v>Serviço</v>
      </c>
      <c r="O20" s="45" t="e">
        <f t="shared" ca="1" si="12"/>
        <v>#VALUE!</v>
      </c>
      <c r="P20" s="46" t="s">
        <v>62</v>
      </c>
      <c r="Q20" s="47" t="s">
        <v>73</v>
      </c>
      <c r="R20" s="48" t="s">
        <v>74</v>
      </c>
      <c r="S20" s="49" t="s">
        <v>75</v>
      </c>
      <c r="T20" s="50" t="e">
        <f ca="1">OFFSET([1]CÁLCULO!H$15,ROW($T20)-ROW(T$15),0)</f>
        <v>#VALUE!</v>
      </c>
      <c r="U20" s="51" t="e">
        <f ca="1">AG20</f>
        <v>#VALUE!</v>
      </c>
      <c r="V20" s="52" t="s">
        <v>10</v>
      </c>
      <c r="W20" s="50" t="e">
        <f t="shared" ca="1" si="13"/>
        <v>#VALUE!</v>
      </c>
      <c r="X20" s="53" t="e">
        <f t="shared" ca="1" si="14"/>
        <v>#VALUE!</v>
      </c>
      <c r="Y20" s="54" t="s">
        <v>63</v>
      </c>
      <c r="Z20" t="e">
        <f t="shared" ca="1" si="15"/>
        <v>#VALUE!</v>
      </c>
      <c r="AA20" s="55" t="e">
        <f ca="1">IF($C20="S",IF($Z20="CP",$X20,IF($Z20="RA",(($X20)*[1]QCI!$AA$3),0)),SomaAgrup)</f>
        <v>#VALUE!</v>
      </c>
      <c r="AB20" s="56" t="e">
        <f t="shared" ca="1" si="16"/>
        <v>#VALUE!</v>
      </c>
      <c r="AC20" s="57" t="e">
        <f t="shared" ca="1" si="17"/>
        <v>#VALUE!</v>
      </c>
      <c r="AD20" t="str">
        <f ca="1">IF(C20&lt;=CRONO.NivelExibicao,MAX($AD$15:OFFSET(AD20,-1,0))+IF($C20&lt;&gt;1,1,MAX(1,COUNTIF([1]QCI!$A$13:$A$24,OFFSET($E20,-1,0)))),"")</f>
        <v/>
      </c>
      <c r="AE20" s="4" t="str">
        <f t="shared" ca="1" si="18"/>
        <v>SINAPI 93208</v>
      </c>
      <c r="AF20" s="58" t="e">
        <f t="shared" ca="1" si="19"/>
        <v>#VALUE!</v>
      </c>
      <c r="AG20" s="59" t="e">
        <f t="shared" ca="1" si="20"/>
        <v>#VALUE!</v>
      </c>
      <c r="AH20" s="60">
        <f t="shared" si="21"/>
        <v>0.2223</v>
      </c>
      <c r="AJ20" s="61">
        <v>6</v>
      </c>
      <c r="AL20" s="62">
        <v>25.263268159999999</v>
      </c>
      <c r="AM20" s="63" t="e">
        <f t="shared" ca="1" si="0"/>
        <v>#VALUE!</v>
      </c>
      <c r="AN20" s="64" t="e">
        <f t="shared" ca="1" si="22"/>
        <v>#VALUE!</v>
      </c>
    </row>
    <row r="21" spans="1:40" ht="25.5" x14ac:dyDescent="0.2">
      <c r="A21" t="str">
        <f t="shared" si="1"/>
        <v>S</v>
      </c>
      <c r="B21">
        <f t="shared" ca="1" si="2"/>
        <v>3</v>
      </c>
      <c r="C21" t="str">
        <f t="shared" ca="1" si="3"/>
        <v>S</v>
      </c>
      <c r="D21">
        <f t="shared" ca="1" si="4"/>
        <v>0</v>
      </c>
      <c r="E21" t="e">
        <f ca="1">IF($C21=1,OFFSET(E21,-1,0)+MAX(1,COUNTIF([1]QCI!$A$13:$A$24,OFFSET('PLANILHA A LICITAR'!E21,-1,0))),OFFSET(E21,-1,0))</f>
        <v>#VALUE!</v>
      </c>
      <c r="F21">
        <f t="shared" ca="1" si="5"/>
        <v>1</v>
      </c>
      <c r="G21">
        <f t="shared" ca="1" si="6"/>
        <v>1</v>
      </c>
      <c r="H21">
        <f t="shared" ca="1" si="7"/>
        <v>0</v>
      </c>
      <c r="I21" t="e">
        <f t="shared" ca="1" si="8"/>
        <v>#VALUE!</v>
      </c>
      <c r="J21">
        <f t="shared" ca="1" si="9"/>
        <v>0</v>
      </c>
      <c r="K21">
        <f ca="1">IF(OR($C21="S",$C21=0),0,MATCH(OFFSET($D21,0,$C21)+IF($C21&lt;&gt;1,1,COUNTIF([1]QCI!$A$13:$A$24,'PLANILHA A LICITAR'!E21)),OFFSET($D21,1,$C21,ROW($C$145)-ROW($C21)),0))</f>
        <v>0</v>
      </c>
      <c r="L21" s="42" t="e">
        <f t="shared" ca="1" si="10"/>
        <v>#VALUE!</v>
      </c>
      <c r="M21" s="43" t="s">
        <v>7</v>
      </c>
      <c r="N21" s="44" t="str">
        <f t="shared" ca="1" si="11"/>
        <v>Serviço</v>
      </c>
      <c r="O21" s="45" t="e">
        <f t="shared" ca="1" si="12"/>
        <v>#VALUE!</v>
      </c>
      <c r="P21" s="46" t="s">
        <v>62</v>
      </c>
      <c r="Q21" s="47" t="s">
        <v>76</v>
      </c>
      <c r="R21" s="48" t="s">
        <v>77</v>
      </c>
      <c r="S21" s="49" t="s">
        <v>78</v>
      </c>
      <c r="T21" s="50" t="e">
        <f ca="1">OFFSET([1]CÁLCULO!H$15,ROW($T21)-ROW(T$15),0)</f>
        <v>#VALUE!</v>
      </c>
      <c r="U21" s="51" t="e">
        <f t="shared" ref="U21:U99" ca="1" si="23">AG21</f>
        <v>#VALUE!</v>
      </c>
      <c r="V21" s="52" t="s">
        <v>10</v>
      </c>
      <c r="W21" s="50" t="e">
        <f t="shared" ca="1" si="13"/>
        <v>#VALUE!</v>
      </c>
      <c r="X21" s="53" t="e">
        <f t="shared" ca="1" si="14"/>
        <v>#VALUE!</v>
      </c>
      <c r="Y21" s="54" t="s">
        <v>63</v>
      </c>
      <c r="Z21" t="e">
        <f t="shared" ca="1" si="15"/>
        <v>#VALUE!</v>
      </c>
      <c r="AA21" s="55" t="e">
        <f ca="1">IF($C21="S",IF($Z21="CP",$X21,IF($Z21="RA",(($X21)*[1]QCI!$AA$3),0)),SomaAgrup)</f>
        <v>#VALUE!</v>
      </c>
      <c r="AB21" s="56" t="e">
        <f t="shared" ca="1" si="16"/>
        <v>#VALUE!</v>
      </c>
      <c r="AC21" s="57" t="e">
        <f t="shared" ca="1" si="17"/>
        <v>#VALUE!</v>
      </c>
      <c r="AD21" t="str">
        <f ca="1">IF(C21&lt;=CRONO.NivelExibicao,MAX($AD$15:OFFSET(AD21,-1,0))+IF($C21&lt;&gt;1,1,MAX(1,COUNTIF([1]QCI!$A$13:$A$24,OFFSET($E21,-1,0)))),"")</f>
        <v/>
      </c>
      <c r="AE21" s="4" t="str">
        <f t="shared" ca="1" si="18"/>
        <v>SINAPI 97622</v>
      </c>
      <c r="AF21" s="58" t="e">
        <f t="shared" ca="1" si="19"/>
        <v>#VALUE!</v>
      </c>
      <c r="AG21" s="59" t="e">
        <f t="shared" ca="1" si="20"/>
        <v>#VALUE!</v>
      </c>
      <c r="AH21" s="60">
        <f t="shared" si="21"/>
        <v>0.2223</v>
      </c>
      <c r="AJ21" s="61">
        <v>28.03</v>
      </c>
      <c r="AL21" s="62"/>
      <c r="AM21" s="63" t="e">
        <f t="shared" ca="1" si="0"/>
        <v>#VALUE!</v>
      </c>
      <c r="AN21" s="64" t="e">
        <f t="shared" ca="1" si="22"/>
        <v>#VALUE!</v>
      </c>
    </row>
    <row r="22" spans="1:40" ht="25.5" x14ac:dyDescent="0.2">
      <c r="A22" t="str">
        <f t="shared" si="1"/>
        <v>S</v>
      </c>
      <c r="B22">
        <f t="shared" ca="1" si="2"/>
        <v>3</v>
      </c>
      <c r="C22" t="str">
        <f t="shared" ca="1" si="3"/>
        <v>S</v>
      </c>
      <c r="D22">
        <f t="shared" ca="1" si="4"/>
        <v>0</v>
      </c>
      <c r="E22" t="e">
        <f ca="1">IF($C22=1,OFFSET(E22,-1,0)+MAX(1,COUNTIF([1]QCI!$A$13:$A$24,OFFSET('PLANILHA A LICITAR'!E22,-1,0))),OFFSET(E22,-1,0))</f>
        <v>#VALUE!</v>
      </c>
      <c r="F22">
        <f t="shared" ca="1" si="5"/>
        <v>1</v>
      </c>
      <c r="G22">
        <f t="shared" ca="1" si="6"/>
        <v>1</v>
      </c>
      <c r="H22">
        <f t="shared" ca="1" si="7"/>
        <v>0</v>
      </c>
      <c r="I22" t="e">
        <f t="shared" ca="1" si="8"/>
        <v>#VALUE!</v>
      </c>
      <c r="J22">
        <f t="shared" ca="1" si="9"/>
        <v>0</v>
      </c>
      <c r="K22">
        <f ca="1">IF(OR($C22="S",$C22=0),0,MATCH(OFFSET($D22,0,$C22)+IF($C22&lt;&gt;1,1,COUNTIF([1]QCI!$A$13:$A$24,'PLANILHA A LICITAR'!E22)),OFFSET($D22,1,$C22,ROW($C$145)-ROW($C22)),0))</f>
        <v>0</v>
      </c>
      <c r="L22" s="42" t="e">
        <f t="shared" ca="1" si="10"/>
        <v>#VALUE!</v>
      </c>
      <c r="M22" s="43" t="s">
        <v>7</v>
      </c>
      <c r="N22" s="44" t="str">
        <f t="shared" ca="1" si="11"/>
        <v>Serviço</v>
      </c>
      <c r="O22" s="45" t="e">
        <f t="shared" ca="1" si="12"/>
        <v>#VALUE!</v>
      </c>
      <c r="P22" s="46" t="s">
        <v>62</v>
      </c>
      <c r="Q22" s="47" t="s">
        <v>79</v>
      </c>
      <c r="R22" s="48" t="s">
        <v>80</v>
      </c>
      <c r="S22" s="49" t="s">
        <v>78</v>
      </c>
      <c r="T22" s="50" t="e">
        <f ca="1">OFFSET([1]CÁLCULO!H$15,ROW($T22)-ROW(T$15),0)</f>
        <v>#VALUE!</v>
      </c>
      <c r="U22" s="51" t="e">
        <f t="shared" ca="1" si="23"/>
        <v>#VALUE!</v>
      </c>
      <c r="V22" s="52" t="s">
        <v>10</v>
      </c>
      <c r="W22" s="50" t="e">
        <f t="shared" ca="1" si="13"/>
        <v>#VALUE!</v>
      </c>
      <c r="X22" s="53" t="e">
        <f t="shared" ca="1" si="14"/>
        <v>#VALUE!</v>
      </c>
      <c r="Y22" s="54" t="s">
        <v>63</v>
      </c>
      <c r="Z22" t="e">
        <f t="shared" ca="1" si="15"/>
        <v>#VALUE!</v>
      </c>
      <c r="AA22" s="55" t="e">
        <f ca="1">IF($C22="S",IF($Z22="CP",$X22,IF($Z22="RA",(($X22)*[1]QCI!$AA$3),0)),SomaAgrup)</f>
        <v>#VALUE!</v>
      </c>
      <c r="AB22" s="56" t="e">
        <f t="shared" ca="1" si="16"/>
        <v>#VALUE!</v>
      </c>
      <c r="AC22" s="57" t="e">
        <f t="shared" ca="1" si="17"/>
        <v>#VALUE!</v>
      </c>
      <c r="AD22" t="str">
        <f ca="1">IF(C22&lt;=CRONO.NivelExibicao,MAX($AD$15:OFFSET(AD22,-1,0))+IF($C22&lt;&gt;1,1,MAX(1,COUNTIF([1]QCI!$A$13:$A$24,OFFSET($E22,-1,0)))),"")</f>
        <v/>
      </c>
      <c r="AE22" s="4" t="str">
        <f t="shared" ca="1" si="18"/>
        <v>SINAPI 97628</v>
      </c>
      <c r="AF22" s="58" t="e">
        <f t="shared" ca="1" si="19"/>
        <v>#VALUE!</v>
      </c>
      <c r="AG22" s="59" t="e">
        <f t="shared" ca="1" si="20"/>
        <v>#VALUE!</v>
      </c>
      <c r="AH22" s="60">
        <f t="shared" si="21"/>
        <v>0.2223</v>
      </c>
      <c r="AJ22" s="61">
        <v>21.15</v>
      </c>
      <c r="AL22" s="62"/>
      <c r="AM22" s="63" t="e">
        <f t="shared" ca="1" si="0"/>
        <v>#VALUE!</v>
      </c>
      <c r="AN22" s="64" t="e">
        <f t="shared" ca="1" si="22"/>
        <v>#VALUE!</v>
      </c>
    </row>
    <row r="23" spans="1:40" ht="25.5" x14ac:dyDescent="0.2">
      <c r="A23" t="str">
        <f t="shared" ref="A23:A44" si="24">CHOOSE(1+LOG(1+2*(ORÇAMENTO.Nivel="Meta")+4*(ORÇAMENTO.Nivel="Nível 2")+8*(ORÇAMENTO.Nivel="Nível 3")+16*(ORÇAMENTO.Nivel="Nível 4")+32*(ORÇAMENTO.Nivel="Serviço"),2),0,1,2,3,4,"S")</f>
        <v>S</v>
      </c>
      <c r="B23">
        <f ca="1">IF(OR(C23="s",C23=0),OFFSET(B23,-1,0),C23)</f>
        <v>3</v>
      </c>
      <c r="C23" t="str">
        <f ca="1">IF(OFFSET(C23,-1,0)="L",1,IF(OFFSET(C23,-1,0)=1,2,IF(OR(A23="s",A23=0),"S",IF(AND(OFFSET(C23,-1,0)=2,A23=4),3,IF(AND(OR(OFFSET(C23,-1,0)="s",OFFSET(C23,-1,0)=0),A23&lt;&gt;"s",A23&gt;OFFSET(B23,-1,0)),OFFSET(B23,-1,0),A23)))))</f>
        <v>S</v>
      </c>
      <c r="D23">
        <f ca="1">IF(OR(C23="S",C23=0),0,IF(ISERROR(K23),J23,SMALL(J23:K23,1)))</f>
        <v>0</v>
      </c>
      <c r="E23" t="e">
        <f ca="1">IF($C23=1,OFFSET(E23,-1,0)+MAX(1,COUNTIF([1]QCI!$A$13:$A$24,OFFSET('PLANILHA A LICITAR'!E23,-1,0))),OFFSET(E23,-1,0))</f>
        <v>#VALUE!</v>
      </c>
      <c r="F23">
        <f ca="1">IF($C23=1,0,IF($C23=2,OFFSET(F23,-1,0)+1,OFFSET(F23,-1,0)))</f>
        <v>1</v>
      </c>
      <c r="G23">
        <f ca="1">IF(AND($C23&lt;=2,$C23&lt;&gt;0),0,IF($C23=3,OFFSET(G23,-1,0)+1,OFFSET(G23,-1,0)))</f>
        <v>1</v>
      </c>
      <c r="H23">
        <f ca="1">IF(AND($C23&lt;=3,$C23&lt;&gt;0),0,IF($C23=4,OFFSET(H23,-1,0)+1,OFFSET(H23,-1,0)))</f>
        <v>0</v>
      </c>
      <c r="I23" t="e">
        <f ca="1">IF(AND($C23&lt;=4,$C23&lt;&gt;0),0,IF(AND($C23="S",$X23&gt;0),OFFSET(I23,-1,0)+1,OFFSET(I23,-1,0)))</f>
        <v>#VALUE!</v>
      </c>
      <c r="J23">
        <f t="shared" ca="1" si="9"/>
        <v>0</v>
      </c>
      <c r="K23">
        <f ca="1">IF(OR($C23="S",$C23=0),0,MATCH(OFFSET($D23,0,$C23)+IF($C23&lt;&gt;1,1,COUNTIF([1]QCI!$A$13:$A$24,'PLANILHA A LICITAR'!E23)),OFFSET($D23,1,$C23,ROW($C$145)-ROW($C23)),0))</f>
        <v>0</v>
      </c>
      <c r="L23" s="42" t="e">
        <f ca="1">IF(OR($X23&gt;0,$C23=1,$C23=2,$C23=3,$C23=4),"F","")</f>
        <v>#VALUE!</v>
      </c>
      <c r="M23" s="43" t="s">
        <v>7</v>
      </c>
      <c r="N23" s="44" t="str">
        <f ca="1">CHOOSE(1+LOG(1+2*(C23=1)+4*(C23=2)+8*(C23=3)+16*(C23=4)+32*(C23="S"),2),"","Meta","Nível 2","Nível 3","Nível 4","Serviço")</f>
        <v>Serviço</v>
      </c>
      <c r="O23" s="45" t="e">
        <f ca="1">IF(OR($C23=0,$L23=""),"-",CONCATENATE(E23&amp;".",IF(AND($A$5&gt;=2,$C23&gt;=2),F23&amp;".",""),IF(AND($A$5&gt;=3,$C23&gt;=3),G23&amp;".",""),IF(AND($A$5&gt;=4,$C23&gt;=4),H23&amp;".",""),IF($C23="S",I23&amp;".","")))</f>
        <v>#VALUE!</v>
      </c>
      <c r="P23" s="46" t="s">
        <v>62</v>
      </c>
      <c r="Q23" s="47" t="s">
        <v>81</v>
      </c>
      <c r="R23" s="48" t="s">
        <v>82</v>
      </c>
      <c r="S23" s="49" t="s">
        <v>75</v>
      </c>
      <c r="T23" s="50" t="e">
        <f ca="1">OFFSET([1]CÁLCULO!H$15,ROW($T23)-ROW(T$15),0)</f>
        <v>#VALUE!</v>
      </c>
      <c r="U23" s="51" t="e">
        <f t="shared" ca="1" si="23"/>
        <v>#VALUE!</v>
      </c>
      <c r="V23" s="52" t="s">
        <v>10</v>
      </c>
      <c r="W23" s="50" t="e">
        <f ca="1">IF($C23="S",ROUND(IF(TIPOORCAMENTO="Proposto",ORÇAMENTO.CustoUnitario*(1+$AH23),ORÇAMENTO.PrecoUnitarioLicitado),15-13*$AF$10),0)</f>
        <v>#VALUE!</v>
      </c>
      <c r="X23" s="53" t="e">
        <f t="shared" ref="X23:X44" ca="1" si="25">IF($C23="S",VTOTAL1,IF($C23=0,0,ROUND(SomaAgrup,15-13*$AF$11)))</f>
        <v>#VALUE!</v>
      </c>
      <c r="Y23" s="54" t="s">
        <v>63</v>
      </c>
      <c r="Z23" t="e">
        <f ca="1">IF(AND($C23="S",$X23&gt;0),IF(ISBLANK($Y23),"RA",LEFT($Y23,2)),"")</f>
        <v>#VALUE!</v>
      </c>
      <c r="AA23" s="55" t="e">
        <f ca="1">IF($C23="S",IF($Z23="CP",$X23,IF($Z23="RA",(($X23)*[1]QCI!$AA$3),0)),SomaAgrup)</f>
        <v>#VALUE!</v>
      </c>
      <c r="AB23" s="56" t="e">
        <f t="shared" ref="AB23:AB44" ca="1" si="26">IF($C23="S",IF($Z23="OU",ROUND($X23,2),0),SomaAgrup)</f>
        <v>#VALUE!</v>
      </c>
      <c r="AC23" s="57" t="e">
        <f ca="1">IF($N23="","",IF(ORÇAMENTO.Descricao="","DESCRIÇÃO",IF(AND($C23="S",ORÇAMENTO.Unidade=""),"UNIDADE",IF($X23&lt;0,"VALOR NEGATIVO",IF(OR(AND(TIPOORCAMENTO="Proposto",$AG23&lt;&gt;"",$AG23&gt;0,ORÇAMENTO.CustoUnitario&gt;$AG23),AND(TIPOORCAMENTO="LICITADO",ORÇAMENTO.PrecoUnitarioLicitado&gt;$AN23)),"ACIMA REF.","")))))</f>
        <v>#VALUE!</v>
      </c>
      <c r="AD23" t="str">
        <f ca="1">IF(C23&lt;=CRONO.NivelExibicao,MAX($AD$15:OFFSET(AD23,-1,0))+IF($C23&lt;&gt;1,1,MAX(1,COUNTIF([1]QCI!$A$13:$A$24,OFFSET($E23,-1,0)))),"")</f>
        <v/>
      </c>
      <c r="AE23" s="4" t="str">
        <f ca="1">IF(AND($C23="S",ORÇAMENTO.CodBarra&lt;&gt;""),IF(ORÇAMENTO.Fonte="",ORÇAMENTO.CodBarra,CONCATENATE(ORÇAMENTO.Fonte," ",ORÇAMENTO.CodBarra)))</f>
        <v>SINAPI 97644</v>
      </c>
      <c r="AF23" s="58" t="e">
        <f ca="1">IF(ISERROR(INDIRECT(ORÇAMENTO.BancoRef)),"(abra o arquivo 'Referência "&amp;Excel_BuiltIn_Database&amp;".xls)",IF(OR($C23&lt;&gt;"S",ORÇAMENTO.CodBarra=""),"(Sem Código)",IF(ISERROR(MATCH($AE23,INDIRECT(ORÇAMENTO.BancoRef),0)),"(Código não identificado nas referências)",MATCH($AE23,INDIRECT(ORÇAMENTO.BancoRef),0))))</f>
        <v>#VALUE!</v>
      </c>
      <c r="AG23" s="59" t="e">
        <f ca="1">ROUND(IF(DESONERACAO="sim",REFERENCIA.Desonerado,REFERENCIA.NaoDesonerado),2)</f>
        <v>#VALUE!</v>
      </c>
      <c r="AH23" s="60">
        <f t="shared" ref="AH23:AH44" si="27">ROUND(IF(ISNUMBER(ORÇAMENTO.OpcaoBDI),ORÇAMENTO.OpcaoBDI,IF(LEFT(ORÇAMENTO.OpcaoBDI,3)="BDI",HLOOKUP(ORÇAMENTO.OpcaoBDI,$F$4:$H$5,2,FALSE),0)),15-11*$AF$9)</f>
        <v>0.2223</v>
      </c>
      <c r="AJ23" s="61">
        <v>17.010000000000002</v>
      </c>
      <c r="AL23" s="62"/>
      <c r="AM23" s="63" t="e">
        <f t="shared" ca="1" si="0"/>
        <v>#VALUE!</v>
      </c>
      <c r="AN23" s="64" t="e">
        <f t="shared" ref="AN23:AN44" ca="1" si="28">ROUND(ORÇAMENTO.CustoUnitario*(1+$AH23),2)</f>
        <v>#VALUE!</v>
      </c>
    </row>
    <row r="24" spans="1:40" ht="25.5" x14ac:dyDescent="0.2">
      <c r="A24" t="str">
        <f t="shared" si="24"/>
        <v>S</v>
      </c>
      <c r="B24">
        <f ca="1">IF(OR(C24="s",C24=0),OFFSET(B24,-1,0),C24)</f>
        <v>3</v>
      </c>
      <c r="C24" t="str">
        <f ca="1">IF(OFFSET(C24,-1,0)="L",1,IF(OFFSET(C24,-1,0)=1,2,IF(OR(A24="s",A24=0),"S",IF(AND(OFFSET(C24,-1,0)=2,A24=4),3,IF(AND(OR(OFFSET(C24,-1,0)="s",OFFSET(C24,-1,0)=0),A24&lt;&gt;"s",A24&gt;OFFSET(B24,-1,0)),OFFSET(B24,-1,0),A24)))))</f>
        <v>S</v>
      </c>
      <c r="D24">
        <f ca="1">IF(OR(C24="S",C24=0),0,IF(ISERROR(K24),J24,SMALL(J24:K24,1)))</f>
        <v>0</v>
      </c>
      <c r="E24" t="e">
        <f ca="1">IF($C24=1,OFFSET(E24,-1,0)+MAX(1,COUNTIF([1]QCI!$A$13:$A$24,OFFSET('PLANILHA A LICITAR'!E24,-1,0))),OFFSET(E24,-1,0))</f>
        <v>#VALUE!</v>
      </c>
      <c r="F24">
        <f ca="1">IF($C24=1,0,IF($C24=2,OFFSET(F24,-1,0)+1,OFFSET(F24,-1,0)))</f>
        <v>1</v>
      </c>
      <c r="G24">
        <f ca="1">IF(AND($C24&lt;=2,$C24&lt;&gt;0),0,IF($C24=3,OFFSET(G24,-1,0)+1,OFFSET(G24,-1,0)))</f>
        <v>1</v>
      </c>
      <c r="H24">
        <f ca="1">IF(AND($C24&lt;=3,$C24&lt;&gt;0),0,IF($C24=4,OFFSET(H24,-1,0)+1,OFFSET(H24,-1,0)))</f>
        <v>0</v>
      </c>
      <c r="I24" t="e">
        <f ca="1">IF(AND($C24&lt;=4,$C24&lt;&gt;0),0,IF(AND($C24="S",$X24&gt;0),OFFSET(I24,-1,0)+1,OFFSET(I24,-1,0)))</f>
        <v>#VALUE!</v>
      </c>
      <c r="J24">
        <f t="shared" ca="1" si="9"/>
        <v>0</v>
      </c>
      <c r="K24">
        <f ca="1">IF(OR($C24="S",$C24=0),0,MATCH(OFFSET($D24,0,$C24)+IF($C24&lt;&gt;1,1,COUNTIF([1]QCI!$A$13:$A$24,'PLANILHA A LICITAR'!E24)),OFFSET($D24,1,$C24,ROW($C$145)-ROW($C24)),0))</f>
        <v>0</v>
      </c>
      <c r="L24" s="42" t="e">
        <f ca="1">IF(OR($X24&gt;0,$C24=1,$C24=2,$C24=3,$C24=4),"F","")</f>
        <v>#VALUE!</v>
      </c>
      <c r="M24" s="43" t="s">
        <v>7</v>
      </c>
      <c r="N24" s="44" t="str">
        <f ca="1">CHOOSE(1+LOG(1+2*(C24=1)+4*(C24=2)+8*(C24=3)+16*(C24=4)+32*(C24="S"),2),"","Meta","Nível 2","Nível 3","Nível 4","Serviço")</f>
        <v>Serviço</v>
      </c>
      <c r="O24" s="45" t="e">
        <f ca="1">IF(OR($C24=0,$L24=""),"-",CONCATENATE(E24&amp;".",IF(AND($A$5&gt;=2,$C24&gt;=2),F24&amp;".",""),IF(AND($A$5&gt;=3,$C24&gt;=3),G24&amp;".",""),IF(AND($A$5&gt;=4,$C24&gt;=4),H24&amp;".",""),IF($C24="S",I24&amp;".","")))</f>
        <v>#VALUE!</v>
      </c>
      <c r="P24" s="46" t="s">
        <v>62</v>
      </c>
      <c r="Q24" s="47" t="s">
        <v>83</v>
      </c>
      <c r="R24" s="48" t="s">
        <v>84</v>
      </c>
      <c r="S24" s="49" t="s">
        <v>85</v>
      </c>
      <c r="T24" s="50" t="e">
        <f ca="1">OFFSET([1]CÁLCULO!H$15,ROW($T24)-ROW(T$15),0)</f>
        <v>#VALUE!</v>
      </c>
      <c r="U24" s="51" t="e">
        <f t="shared" ca="1" si="23"/>
        <v>#VALUE!</v>
      </c>
      <c r="V24" s="52" t="s">
        <v>10</v>
      </c>
      <c r="W24" s="50" t="e">
        <f ca="1">IF($C24="S",ROUND(IF(TIPOORCAMENTO="Proposto",ORÇAMENTO.CustoUnitario*(1+$AH24),ORÇAMENTO.PrecoUnitarioLicitado),15-13*$AF$10),0)</f>
        <v>#VALUE!</v>
      </c>
      <c r="X24" s="53" t="e">
        <f t="shared" ca="1" si="25"/>
        <v>#VALUE!</v>
      </c>
      <c r="Y24" s="54" t="s">
        <v>63</v>
      </c>
      <c r="Z24" t="e">
        <f ca="1">IF(AND($C24="S",$X24&gt;0),IF(ISBLANK($Y24),"RA",LEFT($Y24,2)),"")</f>
        <v>#VALUE!</v>
      </c>
      <c r="AA24" s="55" t="e">
        <f ca="1">IF($C24="S",IF($Z24="CP",$X24,IF($Z24="RA",(($X24)*[1]QCI!$AA$3),0)),SomaAgrup)</f>
        <v>#VALUE!</v>
      </c>
      <c r="AB24" s="56" t="e">
        <f t="shared" ca="1" si="26"/>
        <v>#VALUE!</v>
      </c>
      <c r="AC24" s="57" t="e">
        <f ca="1">IF($N24="","",IF(ORÇAMENTO.Descricao="","DESCRIÇÃO",IF(AND($C24="S",ORÇAMENTO.Unidade=""),"UNIDADE",IF($X24&lt;0,"VALOR NEGATIVO",IF(OR(AND(TIPOORCAMENTO="Proposto",$AG24&lt;&gt;"",$AG24&gt;0,ORÇAMENTO.CustoUnitario&gt;$AG24),AND(TIPOORCAMENTO="LICITADO",ORÇAMENTO.PrecoUnitarioLicitado&gt;$AN24)),"ACIMA REF.","")))))</f>
        <v>#VALUE!</v>
      </c>
      <c r="AD24" t="str">
        <f ca="1">IF(C24&lt;=CRONO.NivelExibicao,MAX($AD$15:OFFSET(AD24,-1,0))+IF($C24&lt;&gt;1,1,MAX(1,COUNTIF([1]QCI!$A$13:$A$24,OFFSET($E24,-1,0)))),"")</f>
        <v/>
      </c>
      <c r="AE24" s="4" t="str">
        <f ca="1">IF(AND($C24="S",ORÇAMENTO.CodBarra&lt;&gt;""),IF(ORÇAMENTO.Fonte="",ORÇAMENTO.CodBarra,CONCATENATE(ORÇAMENTO.Fonte," ",ORÇAMENTO.CodBarra)))</f>
        <v>SINAPI 97663</v>
      </c>
      <c r="AF24" s="58" t="e">
        <f ca="1">IF(ISERROR(INDIRECT(ORÇAMENTO.BancoRef)),"(abra o arquivo 'Referência "&amp;Excel_BuiltIn_Database&amp;".xls)",IF(OR($C24&lt;&gt;"S",ORÇAMENTO.CodBarra=""),"(Sem Código)",IF(ISERROR(MATCH($AE24,INDIRECT(ORÇAMENTO.BancoRef),0)),"(Código não identificado nas referências)",MATCH($AE24,INDIRECT(ORÇAMENTO.BancoRef),0))))</f>
        <v>#VALUE!</v>
      </c>
      <c r="AG24" s="59" t="e">
        <f ca="1">ROUND(IF(DESONERACAO="sim",REFERENCIA.Desonerado,REFERENCIA.NaoDesonerado),2)</f>
        <v>#VALUE!</v>
      </c>
      <c r="AH24" s="60">
        <f t="shared" si="27"/>
        <v>0.2223</v>
      </c>
      <c r="AJ24" s="61">
        <v>18</v>
      </c>
      <c r="AL24" s="62"/>
      <c r="AM24" s="63" t="e">
        <f t="shared" ca="1" si="0"/>
        <v>#VALUE!</v>
      </c>
      <c r="AN24" s="64" t="e">
        <f t="shared" ca="1" si="28"/>
        <v>#VALUE!</v>
      </c>
    </row>
    <row r="25" spans="1:40" ht="51" x14ac:dyDescent="0.2">
      <c r="A25" t="str">
        <f t="shared" si="24"/>
        <v>S</v>
      </c>
      <c r="B25">
        <f ca="1">IF(OR(C25="s",C25=0),OFFSET(B25,-1,0),C25)</f>
        <v>3</v>
      </c>
      <c r="C25" t="str">
        <f ca="1">IF(OFFSET(C25,-1,0)="L",1,IF(OFFSET(C25,-1,0)=1,2,IF(OR(A25="s",A25=0),"S",IF(AND(OFFSET(C25,-1,0)=2,A25=4),3,IF(AND(OR(OFFSET(C25,-1,0)="s",OFFSET(C25,-1,0)=0),A25&lt;&gt;"s",A25&gt;OFFSET(B25,-1,0)),OFFSET(B25,-1,0),A25)))))</f>
        <v>S</v>
      </c>
      <c r="D25">
        <f ca="1">IF(OR(C25="S",C25=0),0,IF(ISERROR(K25),J25,SMALL(J25:K25,1)))</f>
        <v>0</v>
      </c>
      <c r="E25" t="e">
        <f ca="1">IF($C25=1,OFFSET(E25,-1,0)+MAX(1,COUNTIF([1]QCI!$A$13:$A$24,OFFSET('PLANILHA A LICITAR'!E25,-1,0))),OFFSET(E25,-1,0))</f>
        <v>#VALUE!</v>
      </c>
      <c r="F25">
        <f ca="1">IF($C25=1,0,IF($C25=2,OFFSET(F25,-1,0)+1,OFFSET(F25,-1,0)))</f>
        <v>1</v>
      </c>
      <c r="G25">
        <f ca="1">IF(AND($C25&lt;=2,$C25&lt;&gt;0),0,IF($C25=3,OFFSET(G25,-1,0)+1,OFFSET(G25,-1,0)))</f>
        <v>1</v>
      </c>
      <c r="H25">
        <f ca="1">IF(AND($C25&lt;=3,$C25&lt;&gt;0),0,IF($C25=4,OFFSET(H25,-1,0)+1,OFFSET(H25,-1,0)))</f>
        <v>0</v>
      </c>
      <c r="I25" t="e">
        <f ca="1">IF(AND($C25&lt;=4,$C25&lt;&gt;0),0,IF(AND($C25="S",$X25&gt;0),OFFSET(I25,-1,0)+1,OFFSET(I25,-1,0)))</f>
        <v>#VALUE!</v>
      </c>
      <c r="J25">
        <f t="shared" ca="1" si="9"/>
        <v>0</v>
      </c>
      <c r="K25">
        <f ca="1">IF(OR($C25="S",$C25=0),0,MATCH(OFFSET($D25,0,$C25)+IF($C25&lt;&gt;1,1,COUNTIF([1]QCI!$A$13:$A$24,'PLANILHA A LICITAR'!E25)),OFFSET($D25,1,$C25,ROW($C$145)-ROW($C25)),0))</f>
        <v>0</v>
      </c>
      <c r="L25" s="42" t="e">
        <f ca="1">IF(OR($X25&gt;0,$C25=1,$C25=2,$C25=3,$C25=4),"F","")</f>
        <v>#VALUE!</v>
      </c>
      <c r="M25" s="43" t="s">
        <v>7</v>
      </c>
      <c r="N25" s="44" t="str">
        <f ca="1">CHOOSE(1+LOG(1+2*(C25=1)+4*(C25=2)+8*(C25=3)+16*(C25=4)+32*(C25="S"),2),"","Meta","Nível 2","Nível 3","Nível 4","Serviço")</f>
        <v>Serviço</v>
      </c>
      <c r="O25" s="45" t="e">
        <f ca="1">IF(OR($C25=0,$L25=""),"-",CONCATENATE(E25&amp;".",IF(AND($A$5&gt;=2,$C25&gt;=2),F25&amp;".",""),IF(AND($A$5&gt;=3,$C25&gt;=3),G25&amp;".",""),IF(AND($A$5&gt;=4,$C25&gt;=4),H25&amp;".",""),IF($C25="S",I25&amp;".","")))</f>
        <v>#VALUE!</v>
      </c>
      <c r="P25" s="46" t="s">
        <v>62</v>
      </c>
      <c r="Q25" s="47" t="s">
        <v>86</v>
      </c>
      <c r="R25" s="48" t="s">
        <v>87</v>
      </c>
      <c r="S25" s="49" t="s">
        <v>78</v>
      </c>
      <c r="T25" s="50" t="e">
        <f ca="1">OFFSET([1]CÁLCULO!H$15,ROW($T25)-ROW(T$15),0)</f>
        <v>#VALUE!</v>
      </c>
      <c r="U25" s="51" t="e">
        <f t="shared" ca="1" si="23"/>
        <v>#VALUE!</v>
      </c>
      <c r="V25" s="52" t="s">
        <v>10</v>
      </c>
      <c r="W25" s="50" t="e">
        <f ca="1">IF($C25="S",ROUND(IF(TIPOORCAMENTO="Proposto",ORÇAMENTO.CustoUnitario*(1+$AH25),ORÇAMENTO.PrecoUnitarioLicitado),15-13*$AF$10),0)</f>
        <v>#VALUE!</v>
      </c>
      <c r="X25" s="53" t="e">
        <f t="shared" ca="1" si="25"/>
        <v>#VALUE!</v>
      </c>
      <c r="Y25" s="54" t="s">
        <v>63</v>
      </c>
      <c r="Z25" t="e">
        <f ca="1">IF(AND($C25="S",$X25&gt;0),IF(ISBLANK($Y25),"RA",LEFT($Y25,2)),"")</f>
        <v>#VALUE!</v>
      </c>
      <c r="AA25" s="55" t="e">
        <f ca="1">IF($C25="S",IF($Z25="CP",$X25,IF($Z25="RA",(($X25)*[1]QCI!$AA$3),0)),SomaAgrup)</f>
        <v>#VALUE!</v>
      </c>
      <c r="AB25" s="56" t="e">
        <f t="shared" ca="1" si="26"/>
        <v>#VALUE!</v>
      </c>
      <c r="AC25" s="57" t="e">
        <f ca="1">IF($N25="","",IF(ORÇAMENTO.Descricao="","DESCRIÇÃO",IF(AND($C25="S",ORÇAMENTO.Unidade=""),"UNIDADE",IF($X25&lt;0,"VALOR NEGATIVO",IF(OR(AND(TIPOORCAMENTO="Proposto",$AG25&lt;&gt;"",$AG25&gt;0,ORÇAMENTO.CustoUnitario&gt;$AG25),AND(TIPOORCAMENTO="LICITADO",ORÇAMENTO.PrecoUnitarioLicitado&gt;$AN25)),"ACIMA REF.","")))))</f>
        <v>#VALUE!</v>
      </c>
      <c r="AD25" t="str">
        <f ca="1">IF(C25&lt;=CRONO.NivelExibicao,MAX($AD$15:OFFSET(AD25,-1,0))+IF($C25&lt;&gt;1,1,MAX(1,COUNTIF([1]QCI!$A$13:$A$24,OFFSET($E25,-1,0)))),"")</f>
        <v/>
      </c>
      <c r="AE25" s="4" t="str">
        <f ca="1">IF(AND($C25="S",ORÇAMENTO.CodBarra&lt;&gt;""),IF(ORÇAMENTO.Fonte="",ORÇAMENTO.CodBarra,CONCATENATE(ORÇAMENTO.Fonte," ",ORÇAMENTO.CodBarra)))</f>
        <v>SINAPI 100981</v>
      </c>
      <c r="AF25" s="58" t="e">
        <f ca="1">IF(ISERROR(INDIRECT(ORÇAMENTO.BancoRef)),"(abra o arquivo 'Referência "&amp;Excel_BuiltIn_Database&amp;".xls)",IF(OR($C25&lt;&gt;"S",ORÇAMENTO.CodBarra=""),"(Sem Código)",IF(ISERROR(MATCH($AE25,INDIRECT(ORÇAMENTO.BancoRef),0)),"(Código não identificado nas referências)",MATCH($AE25,INDIRECT(ORÇAMENTO.BancoRef),0))))</f>
        <v>#VALUE!</v>
      </c>
      <c r="AG25" s="59" t="e">
        <f ca="1">ROUND(IF(DESONERACAO="sim",REFERENCIA.Desonerado,REFERENCIA.NaoDesonerado),2)</f>
        <v>#VALUE!</v>
      </c>
      <c r="AH25" s="60">
        <f t="shared" si="27"/>
        <v>0.2223</v>
      </c>
      <c r="AJ25" s="61">
        <v>49.18</v>
      </c>
      <c r="AL25" s="62"/>
      <c r="AM25" s="63" t="e">
        <f t="shared" ca="1" si="0"/>
        <v>#VALUE!</v>
      </c>
      <c r="AN25" s="64" t="e">
        <f t="shared" ca="1" si="28"/>
        <v>#VALUE!</v>
      </c>
    </row>
    <row r="26" spans="1:40" ht="38.25" x14ac:dyDescent="0.2">
      <c r="A26" t="str">
        <f t="shared" si="24"/>
        <v>S</v>
      </c>
      <c r="B26">
        <f ca="1">IF(OR(C26="s",C26=0),OFFSET(B26,-1,0),C26)</f>
        <v>3</v>
      </c>
      <c r="C26" t="str">
        <f ca="1">IF(OFFSET(C26,-1,0)="L",1,IF(OFFSET(C26,-1,0)=1,2,IF(OR(A26="s",A26=0),"S",IF(AND(OFFSET(C26,-1,0)=2,A26=4),3,IF(AND(OR(OFFSET(C26,-1,0)="s",OFFSET(C26,-1,0)=0),A26&lt;&gt;"s",A26&gt;OFFSET(B26,-1,0)),OFFSET(B26,-1,0),A26)))))</f>
        <v>S</v>
      </c>
      <c r="D26">
        <f ca="1">IF(OR(C26="S",C26=0),0,IF(ISERROR(K26),J26,SMALL(J26:K26,1)))</f>
        <v>0</v>
      </c>
      <c r="E26" t="e">
        <f ca="1">IF($C26=1,OFFSET(E26,-1,0)+MAX(1,COUNTIF([1]QCI!$A$13:$A$24,OFFSET('PLANILHA A LICITAR'!E26,-1,0))),OFFSET(E26,-1,0))</f>
        <v>#VALUE!</v>
      </c>
      <c r="F26">
        <f ca="1">IF($C26=1,0,IF($C26=2,OFFSET(F26,-1,0)+1,OFFSET(F26,-1,0)))</f>
        <v>1</v>
      </c>
      <c r="G26">
        <f ca="1">IF(AND($C26&lt;=2,$C26&lt;&gt;0),0,IF($C26=3,OFFSET(G26,-1,0)+1,OFFSET(G26,-1,0)))</f>
        <v>1</v>
      </c>
      <c r="H26">
        <f ca="1">IF(AND($C26&lt;=3,$C26&lt;&gt;0),0,IF($C26=4,OFFSET(H26,-1,0)+1,OFFSET(H26,-1,0)))</f>
        <v>0</v>
      </c>
      <c r="I26" t="e">
        <f ca="1">IF(AND($C26&lt;=4,$C26&lt;&gt;0),0,IF(AND($C26="S",$X26&gt;0),OFFSET(I26,-1,0)+1,OFFSET(I26,-1,0)))</f>
        <v>#VALUE!</v>
      </c>
      <c r="J26">
        <f t="shared" ca="1" si="9"/>
        <v>0</v>
      </c>
      <c r="K26">
        <f ca="1">IF(OR($C26="S",$C26=0),0,MATCH(OFFSET($D26,0,$C26)+IF($C26&lt;&gt;1,1,COUNTIF([1]QCI!$A$13:$A$24,'PLANILHA A LICITAR'!E26)),OFFSET($D26,1,$C26,ROW($C$145)-ROW($C26)),0))</f>
        <v>0</v>
      </c>
      <c r="L26" s="42" t="e">
        <f ca="1">IF(OR($X26&gt;0,$C26=1,$C26=2,$C26=3,$C26=4),"F","")</f>
        <v>#VALUE!</v>
      </c>
      <c r="M26" s="43" t="s">
        <v>7</v>
      </c>
      <c r="N26" s="44" t="str">
        <f ca="1">CHOOSE(1+LOG(1+2*(C26=1)+4*(C26=2)+8*(C26=3)+16*(C26=4)+32*(C26="S"),2),"","Meta","Nível 2","Nível 3","Nível 4","Serviço")</f>
        <v>Serviço</v>
      </c>
      <c r="O26" s="45" t="e">
        <f ca="1">IF(OR($C26=0,$L26=""),"-",CONCATENATE(E26&amp;".",IF(AND($A$5&gt;=2,$C26&gt;=2),F26&amp;".",""),IF(AND($A$5&gt;=3,$C26&gt;=3),G26&amp;".",""),IF(AND($A$5&gt;=4,$C26&gt;=4),H26&amp;".",""),IF($C26="S",I26&amp;".","")))</f>
        <v>#VALUE!</v>
      </c>
      <c r="P26" s="46" t="s">
        <v>62</v>
      </c>
      <c r="Q26" s="47" t="s">
        <v>88</v>
      </c>
      <c r="R26" s="48" t="s">
        <v>89</v>
      </c>
      <c r="S26" s="49" t="s">
        <v>90</v>
      </c>
      <c r="T26" s="50" t="e">
        <f ca="1">OFFSET([1]CÁLCULO!H$15,ROW($T26)-ROW(T$15),0)</f>
        <v>#VALUE!</v>
      </c>
      <c r="U26" s="51" t="e">
        <f t="shared" ca="1" si="23"/>
        <v>#VALUE!</v>
      </c>
      <c r="V26" s="52" t="s">
        <v>10</v>
      </c>
      <c r="W26" s="50" t="e">
        <f ca="1">IF($C26="S",ROUND(IF(TIPOORCAMENTO="Proposto",ORÇAMENTO.CustoUnitario*(1+$AH26),ORÇAMENTO.PrecoUnitarioLicitado),15-13*$AF$10),0)</f>
        <v>#VALUE!</v>
      </c>
      <c r="X26" s="53" t="e">
        <f t="shared" ca="1" si="25"/>
        <v>#VALUE!</v>
      </c>
      <c r="Y26" s="54" t="s">
        <v>63</v>
      </c>
      <c r="Z26" t="e">
        <f ca="1">IF(AND($C26="S",$X26&gt;0),IF(ISBLANK($Y26),"RA",LEFT($Y26,2)),"")</f>
        <v>#VALUE!</v>
      </c>
      <c r="AA26" s="55" t="e">
        <f ca="1">IF($C26="S",IF($Z26="CP",$X26,IF($Z26="RA",(($X26)*[1]QCI!$AA$3),0)),SomaAgrup)</f>
        <v>#VALUE!</v>
      </c>
      <c r="AB26" s="56" t="e">
        <f t="shared" ca="1" si="26"/>
        <v>#VALUE!</v>
      </c>
      <c r="AC26" s="57" t="e">
        <f ca="1">IF($N26="","",IF(ORÇAMENTO.Descricao="","DESCRIÇÃO",IF(AND($C26="S",ORÇAMENTO.Unidade=""),"UNIDADE",IF($X26&lt;0,"VALOR NEGATIVO",IF(OR(AND(TIPOORCAMENTO="Proposto",$AG26&lt;&gt;"",$AG26&gt;0,ORÇAMENTO.CustoUnitario&gt;$AG26),AND(TIPOORCAMENTO="LICITADO",ORÇAMENTO.PrecoUnitarioLicitado&gt;$AN26)),"ACIMA REF.","")))))</f>
        <v>#VALUE!</v>
      </c>
      <c r="AD26" t="str">
        <f ca="1">IF(C26&lt;=CRONO.NivelExibicao,MAX($AD$15:OFFSET(AD26,-1,0))+IF($C26&lt;&gt;1,1,MAX(1,COUNTIF([1]QCI!$A$13:$A$24,OFFSET($E26,-1,0)))),"")</f>
        <v/>
      </c>
      <c r="AE26" s="4" t="str">
        <f ca="1">IF(AND($C26="S",ORÇAMENTO.CodBarra&lt;&gt;""),IF(ORÇAMENTO.Fonte="",ORÇAMENTO.CodBarra,CONCATENATE(ORÇAMENTO.Fonte," ",ORÇAMENTO.CodBarra)))</f>
        <v>SINAPI 97914</v>
      </c>
      <c r="AF26" s="58" t="e">
        <f ca="1">IF(ISERROR(INDIRECT(ORÇAMENTO.BancoRef)),"(abra o arquivo 'Referência "&amp;Excel_BuiltIn_Database&amp;".xls)",IF(OR($C26&lt;&gt;"S",ORÇAMENTO.CodBarra=""),"(Sem Código)",IF(ISERROR(MATCH($AE26,INDIRECT(ORÇAMENTO.BancoRef),0)),"(Código não identificado nas referências)",MATCH($AE26,INDIRECT(ORÇAMENTO.BancoRef),0))))</f>
        <v>#VALUE!</v>
      </c>
      <c r="AG26" s="59" t="e">
        <f ca="1">ROUND(IF(DESONERACAO="sim",REFERENCIA.Desonerado,REFERENCIA.NaoDesonerado),2)</f>
        <v>#VALUE!</v>
      </c>
      <c r="AH26" s="60">
        <f t="shared" si="27"/>
        <v>0.2223</v>
      </c>
      <c r="AJ26" s="61">
        <f>AJ25*5</f>
        <v>245.9</v>
      </c>
      <c r="AL26" s="62"/>
      <c r="AM26" s="63" t="e">
        <f t="shared" ca="1" si="0"/>
        <v>#VALUE!</v>
      </c>
      <c r="AN26" s="64" t="e">
        <f t="shared" ca="1" si="28"/>
        <v>#VALUE!</v>
      </c>
    </row>
    <row r="27" spans="1:40" x14ac:dyDescent="0.2">
      <c r="A27">
        <f t="shared" si="24"/>
        <v>3</v>
      </c>
      <c r="B27">
        <f t="shared" ref="B27:B44" ca="1" si="29">IF(OR(C27="s",C27=0),OFFSET(B27,-1,0),C27)</f>
        <v>3</v>
      </c>
      <c r="C27">
        <f t="shared" ref="C27:C44" ca="1" si="30">IF(OFFSET(C27,-1,0)="L",1,IF(OFFSET(C27,-1,0)=1,2,IF(OR(A27="s",A27=0),"S",IF(AND(OFFSET(C27,-1,0)=2,A27=4),3,IF(AND(OR(OFFSET(C27,-1,0)="s",OFFSET(C27,-1,0)=0),A27&lt;&gt;"s",A27&gt;OFFSET(B27,-1,0)),OFFSET(B27,-1,0),A27)))))</f>
        <v>3</v>
      </c>
      <c r="D27">
        <f t="shared" ref="D27:D44" ca="1" si="31">IF(OR(C27="S",C27=0),0,IF(ISERROR(K27),J27,SMALL(J27:K27,1)))</f>
        <v>3</v>
      </c>
      <c r="E27" t="e">
        <f ca="1">IF($C27=1,OFFSET(E27,-1,0)+MAX(1,COUNTIF([1]QCI!$A$13:$A$24,OFFSET('PLANILHA A LICITAR'!E27,-1,0))),OFFSET(E27,-1,0))</f>
        <v>#VALUE!</v>
      </c>
      <c r="F27">
        <f t="shared" ref="F27:F44" ca="1" si="32">IF($C27=1,0,IF($C27=2,OFFSET(F27,-1,0)+1,OFFSET(F27,-1,0)))</f>
        <v>1</v>
      </c>
      <c r="G27">
        <f t="shared" ref="G27:G44" ca="1" si="33">IF(AND($C27&lt;=2,$C27&lt;&gt;0),0,IF($C27=3,OFFSET(G27,-1,0)+1,OFFSET(G27,-1,0)))</f>
        <v>2</v>
      </c>
      <c r="H27">
        <f t="shared" ref="H27:H44" ca="1" si="34">IF(AND($C27&lt;=3,$C27&lt;&gt;0),0,IF($C27=4,OFFSET(H27,-1,0)+1,OFFSET(H27,-1,0)))</f>
        <v>0</v>
      </c>
      <c r="I27">
        <f t="shared" ref="I27:I44" ca="1" si="35">IF(AND($C27&lt;=4,$C27&lt;&gt;0),0,IF(AND($C27="S",$X27&gt;0),OFFSET(I27,-1,0)+1,OFFSET(I27,-1,0)))</f>
        <v>0</v>
      </c>
      <c r="J27">
        <f t="shared" ca="1" si="9"/>
        <v>18</v>
      </c>
      <c r="K27">
        <f ca="1">IF(OR($C27="S",$C27=0),0,MATCH(OFFSET($D27,0,$C27)+IF($C27&lt;&gt;1,1,COUNTIF([1]QCI!$A$13:$A$24,'PLANILHA A LICITAR'!E27)),OFFSET($D27,1,$C27,ROW($C$145)-ROW($C27)),0))</f>
        <v>3</v>
      </c>
      <c r="L27" s="42" t="e">
        <f t="shared" ref="L27:L44" ca="1" si="36">IF(OR($X27&gt;0,$C27=1,$C27=2,$C27=3,$C27=4),"F","")</f>
        <v>#VALUE!</v>
      </c>
      <c r="M27" s="43" t="s">
        <v>5</v>
      </c>
      <c r="N27" s="44" t="str">
        <f t="shared" ref="N27:N44" ca="1" si="37">CHOOSE(1+LOG(1+2*(C27=1)+4*(C27=2)+8*(C27=3)+16*(C27=4)+32*(C27="S"),2),"","Meta","Nível 2","Nível 3","Nível 4","Serviço")</f>
        <v>Nível 3</v>
      </c>
      <c r="O27" s="45" t="e">
        <f t="shared" ref="O27:O44" ca="1" si="38">IF(OR($C27=0,$L27=""),"-",CONCATENATE(E27&amp;".",IF(AND($A$5&gt;=2,$C27&gt;=2),F27&amp;".",""),IF(AND($A$5&gt;=3,$C27&gt;=3),G27&amp;".",""),IF(AND($A$5&gt;=4,$C27&gt;=4),H27&amp;".",""),IF($C27="S",I27&amp;".","")))</f>
        <v>#VALUE!</v>
      </c>
      <c r="P27" s="46" t="s">
        <v>62</v>
      </c>
      <c r="Q27" s="47"/>
      <c r="R27" s="48" t="s">
        <v>91</v>
      </c>
      <c r="S27" s="49" t="s">
        <v>67</v>
      </c>
      <c r="T27" s="50" t="e">
        <f ca="1">OFFSET([1]CÁLCULO!H$15,ROW($T27)-ROW(T$15),0)</f>
        <v>#VALUE!</v>
      </c>
      <c r="U27" s="51"/>
      <c r="V27" s="52" t="s">
        <v>10</v>
      </c>
      <c r="W27" s="50">
        <f ca="1">IF($C27="S",ROUND(IF(TIPOORCAMENTO="Proposto",ORÇAMENTO.CustoUnitario*(1+$AH27),ORÇAMENTO.PrecoUnitarioLicitado),15-13*$AF$10),0)</f>
        <v>0</v>
      </c>
      <c r="X27" s="53" t="e">
        <f t="shared" ca="1" si="25"/>
        <v>#VALUE!</v>
      </c>
      <c r="Y27" s="54" t="s">
        <v>63</v>
      </c>
      <c r="Z27" t="e">
        <f t="shared" ref="Z27:Z44" ca="1" si="39">IF(AND($C27="S",$X27&gt;0),IF(ISBLANK($Y27),"RA",LEFT($Y27,2)),"")</f>
        <v>#VALUE!</v>
      </c>
      <c r="AA27" s="55" t="e">
        <f ca="1">IF($C27="S",IF($Z27="CP",$X27,IF($Z27="RA",(($X27)*[1]QCI!$AA$3),0)),SomaAgrup)</f>
        <v>#VALUE!</v>
      </c>
      <c r="AB27" s="56" t="e">
        <f t="shared" ca="1" si="26"/>
        <v>#VALUE!</v>
      </c>
      <c r="AC27" s="57" t="e">
        <f ca="1">IF($N27="","",IF(ORÇAMENTO.Descricao="","DESCRIÇÃO",IF(AND($C27="S",ORÇAMENTO.Unidade=""),"UNIDADE",IF($X27&lt;0,"VALOR NEGATIVO",IF(OR(AND(TIPOORCAMENTO="Proposto",$AG27&lt;&gt;"",$AG27&gt;0,ORÇAMENTO.CustoUnitario&gt;$AG27),AND(TIPOORCAMENTO="LICITADO",ORÇAMENTO.PrecoUnitarioLicitado&gt;$AN27)),"ACIMA REF.","")))))</f>
        <v>#VALUE!</v>
      </c>
      <c r="AD27" t="e">
        <f ca="1">IF(C27&lt;=CRONO.NivelExibicao,MAX($AD$15:OFFSET(AD27,-1,0))+IF($C27&lt;&gt;1,1,MAX(1,COUNTIF([1]QCI!$A$13:$A$24,OFFSET($E27,-1,0)))),"")</f>
        <v>#VALUE!</v>
      </c>
      <c r="AE27" s="4" t="b">
        <f ca="1">IF(AND($C27="S",ORÇAMENTO.CodBarra&lt;&gt;""),IF(ORÇAMENTO.Fonte="",ORÇAMENTO.CodBarra,CONCATENATE(ORÇAMENTO.Fonte," ",ORÇAMENTO.CodBarra)))</f>
        <v>0</v>
      </c>
      <c r="AF27" s="58" t="e">
        <f ca="1">IF(ISERROR(INDIRECT(ORÇAMENTO.BancoRef)),"(abra o arquivo 'Referência "&amp;Excel_BuiltIn_Database&amp;".xls)",IF(OR($C27&lt;&gt;"S",ORÇAMENTO.CodBarra=""),"(Sem Código)",IF(ISERROR(MATCH($AE27,INDIRECT(ORÇAMENTO.BancoRef),0)),"(Código não identificado nas referências)",MATCH($AE27,INDIRECT(ORÇAMENTO.BancoRef),0))))</f>
        <v>#VALUE!</v>
      </c>
      <c r="AG27" s="59" t="e">
        <f ca="1">ROUND(IF(DESONERACAO="sim",REFERENCIA.Desonerado,REFERENCIA.NaoDesonerado),2)</f>
        <v>#VALUE!</v>
      </c>
      <c r="AH27" s="60">
        <f t="shared" si="27"/>
        <v>0.2223</v>
      </c>
      <c r="AJ27" s="61"/>
      <c r="AL27" s="62"/>
      <c r="AM27" s="63" t="e">
        <f t="shared" ca="1" si="0"/>
        <v>#VALUE!</v>
      </c>
      <c r="AN27" s="64">
        <f t="shared" si="28"/>
        <v>0</v>
      </c>
    </row>
    <row r="28" spans="1:40" ht="51" x14ac:dyDescent="0.2">
      <c r="A28" t="str">
        <f t="shared" si="24"/>
        <v>S</v>
      </c>
      <c r="B28">
        <f t="shared" ca="1" si="29"/>
        <v>3</v>
      </c>
      <c r="C28" t="str">
        <f t="shared" ca="1" si="30"/>
        <v>S</v>
      </c>
      <c r="D28">
        <f t="shared" ca="1" si="31"/>
        <v>0</v>
      </c>
      <c r="E28" t="e">
        <f ca="1">IF($C28=1,OFFSET(E28,-1,0)+MAX(1,COUNTIF([1]QCI!$A$13:$A$24,OFFSET('PLANILHA A LICITAR'!E28,-1,0))),OFFSET(E28,-1,0))</f>
        <v>#VALUE!</v>
      </c>
      <c r="F28">
        <f t="shared" ca="1" si="32"/>
        <v>1</v>
      </c>
      <c r="G28">
        <f t="shared" ca="1" si="33"/>
        <v>2</v>
      </c>
      <c r="H28">
        <f t="shared" ca="1" si="34"/>
        <v>0</v>
      </c>
      <c r="I28" t="e">
        <f t="shared" ca="1" si="35"/>
        <v>#VALUE!</v>
      </c>
      <c r="J28">
        <f t="shared" ca="1" si="9"/>
        <v>0</v>
      </c>
      <c r="K28">
        <f ca="1">IF(OR($C28="S",$C28=0),0,MATCH(OFFSET($D28,0,$C28)+IF($C28&lt;&gt;1,1,COUNTIF([1]QCI!$A$13:$A$24,'PLANILHA A LICITAR'!E28)),OFFSET($D28,1,$C28,ROW($C$145)-ROW($C28)),0))</f>
        <v>0</v>
      </c>
      <c r="L28" s="42" t="e">
        <f t="shared" ca="1" si="36"/>
        <v>#VALUE!</v>
      </c>
      <c r="M28" s="43" t="s">
        <v>7</v>
      </c>
      <c r="N28" s="44" t="str">
        <f t="shared" ca="1" si="37"/>
        <v>Serviço</v>
      </c>
      <c r="O28" s="45" t="e">
        <f t="shared" ca="1" si="38"/>
        <v>#VALUE!</v>
      </c>
      <c r="P28" s="46" t="s">
        <v>62</v>
      </c>
      <c r="Q28" s="47" t="s">
        <v>92</v>
      </c>
      <c r="R28" s="48" t="s">
        <v>93</v>
      </c>
      <c r="S28" s="49" t="s">
        <v>75</v>
      </c>
      <c r="T28" s="50" t="e">
        <f ca="1">OFFSET([1]CÁLCULO!H$15,ROW($T28)-ROW(T$15),0)</f>
        <v>#VALUE!</v>
      </c>
      <c r="U28" s="51" t="e">
        <f t="shared" ca="1" si="23"/>
        <v>#VALUE!</v>
      </c>
      <c r="V28" s="52" t="s">
        <v>10</v>
      </c>
      <c r="W28" s="50" t="e">
        <f ca="1">IF($C28="S",ROUND(IF(TIPOORCAMENTO="Proposto",ORÇAMENTO.CustoUnitario*(1+$AH28),ORÇAMENTO.PrecoUnitarioLicitado),15-13*$AF$10),0)</f>
        <v>#VALUE!</v>
      </c>
      <c r="X28" s="53" t="e">
        <f t="shared" ca="1" si="25"/>
        <v>#VALUE!</v>
      </c>
      <c r="Y28" s="54" t="s">
        <v>63</v>
      </c>
      <c r="Z28" t="e">
        <f t="shared" ca="1" si="39"/>
        <v>#VALUE!</v>
      </c>
      <c r="AA28" s="55" t="e">
        <f ca="1">IF($C28="S",IF($Z28="CP",$X28,IF($Z28="RA",(($X28)*[1]QCI!$AA$3),0)),SomaAgrup)</f>
        <v>#VALUE!</v>
      </c>
      <c r="AB28" s="56" t="e">
        <f t="shared" ca="1" si="26"/>
        <v>#VALUE!</v>
      </c>
      <c r="AC28" s="57" t="e">
        <f ca="1">IF($N28="","",IF(ORÇAMENTO.Descricao="","DESCRIÇÃO",IF(AND($C28="S",ORÇAMENTO.Unidade=""),"UNIDADE",IF($X28&lt;0,"VALOR NEGATIVO",IF(OR(AND(TIPOORCAMENTO="Proposto",$AG28&lt;&gt;"",$AG28&gt;0,ORÇAMENTO.CustoUnitario&gt;$AG28),AND(TIPOORCAMENTO="LICITADO",ORÇAMENTO.PrecoUnitarioLicitado&gt;$AN28)),"ACIMA REF.","")))))</f>
        <v>#VALUE!</v>
      </c>
      <c r="AD28" t="str">
        <f ca="1">IF(C28&lt;=CRONO.NivelExibicao,MAX($AD$15:OFFSET(AD28,-1,0))+IF($C28&lt;&gt;1,1,MAX(1,COUNTIF([1]QCI!$A$13:$A$24,OFFSET($E28,-1,0)))),"")</f>
        <v/>
      </c>
      <c r="AE28" s="4" t="str">
        <f ca="1">IF(AND($C28="S",ORÇAMENTO.CodBarra&lt;&gt;""),IF(ORÇAMENTO.Fonte="",ORÇAMENTO.CodBarra,CONCATENATE(ORÇAMENTO.Fonte," ",ORÇAMENTO.CodBarra)))</f>
        <v>SINAPI 87620</v>
      </c>
      <c r="AF28" s="58" t="e">
        <f ca="1">IF(ISERROR(INDIRECT(ORÇAMENTO.BancoRef)),"(abra o arquivo 'Referência "&amp;Excel_BuiltIn_Database&amp;".xls)",IF(OR($C28&lt;&gt;"S",ORÇAMENTO.CodBarra=""),"(Sem Código)",IF(ISERROR(MATCH($AE28,INDIRECT(ORÇAMENTO.BancoRef),0)),"(Código não identificado nas referências)",MATCH($AE28,INDIRECT(ORÇAMENTO.BancoRef),0))))</f>
        <v>#VALUE!</v>
      </c>
      <c r="AG28" s="59" t="e">
        <f ca="1">ROUND(IF(DESONERACAO="sim",REFERENCIA.Desonerado,REFERENCIA.NaoDesonerado),2)</f>
        <v>#VALUE!</v>
      </c>
      <c r="AH28" s="60">
        <f t="shared" si="27"/>
        <v>0.2223</v>
      </c>
      <c r="AJ28" s="61">
        <v>120</v>
      </c>
      <c r="AL28" s="62"/>
      <c r="AM28" s="63" t="e">
        <f t="shared" ca="1" si="0"/>
        <v>#VALUE!</v>
      </c>
      <c r="AN28" s="64" t="e">
        <f t="shared" ca="1" si="28"/>
        <v>#VALUE!</v>
      </c>
    </row>
    <row r="29" spans="1:40" x14ac:dyDescent="0.2">
      <c r="A29" t="str">
        <f t="shared" si="24"/>
        <v>S</v>
      </c>
      <c r="B29">
        <f t="shared" ca="1" si="29"/>
        <v>3</v>
      </c>
      <c r="C29" t="str">
        <f t="shared" ca="1" si="30"/>
        <v>S</v>
      </c>
      <c r="D29">
        <f t="shared" ca="1" si="31"/>
        <v>0</v>
      </c>
      <c r="E29" t="e">
        <f ca="1">IF($C29=1,OFFSET(E29,-1,0)+MAX(1,COUNTIF([1]QCI!$A$13:$A$24,OFFSET('PLANILHA A LICITAR'!E29,-1,0))),OFFSET(E29,-1,0))</f>
        <v>#VALUE!</v>
      </c>
      <c r="F29">
        <f t="shared" ca="1" si="32"/>
        <v>1</v>
      </c>
      <c r="G29">
        <f t="shared" ca="1" si="33"/>
        <v>2</v>
      </c>
      <c r="H29">
        <f t="shared" ca="1" si="34"/>
        <v>0</v>
      </c>
      <c r="I29" t="e">
        <f t="shared" ca="1" si="35"/>
        <v>#VALUE!</v>
      </c>
      <c r="J29">
        <f t="shared" ca="1" si="9"/>
        <v>0</v>
      </c>
      <c r="K29">
        <f ca="1">IF(OR($C29="S",$C29=0),0,MATCH(OFFSET($D29,0,$C29)+IF($C29&lt;&gt;1,1,COUNTIF([1]QCI!$A$13:$A$24,'PLANILHA A LICITAR'!E29)),OFFSET($D29,1,$C29,ROW($C$145)-ROW($C29)),0))</f>
        <v>0</v>
      </c>
      <c r="L29" s="42" t="e">
        <f t="shared" ca="1" si="36"/>
        <v>#VALUE!</v>
      </c>
      <c r="M29" s="43" t="s">
        <v>7</v>
      </c>
      <c r="N29" s="44" t="str">
        <f t="shared" ca="1" si="37"/>
        <v>Serviço</v>
      </c>
      <c r="O29" s="45" t="e">
        <f t="shared" ca="1" si="38"/>
        <v>#VALUE!</v>
      </c>
      <c r="P29" s="46" t="s">
        <v>62</v>
      </c>
      <c r="Q29" s="47" t="s">
        <v>94</v>
      </c>
      <c r="R29" s="48" t="s">
        <v>95</v>
      </c>
      <c r="S29" s="49" t="s">
        <v>96</v>
      </c>
      <c r="T29" s="50" t="e">
        <f ca="1">OFFSET([1]CÁLCULO!H$15,ROW($T29)-ROW(T$15),0)</f>
        <v>#VALUE!</v>
      </c>
      <c r="U29" s="51">
        <v>174935.24</v>
      </c>
      <c r="V29" s="52" t="s">
        <v>10</v>
      </c>
      <c r="W29" s="50">
        <f ca="1">IF($C29="S",ROUND(IF(TIPOORCAMENTO="Proposto",ORÇAMENTO.CustoUnitario*(1+$AH29),ORÇAMENTO.PrecoUnitarioLicitado),15-13*$AF$10),0)</f>
        <v>213823.34385199999</v>
      </c>
      <c r="X29" s="53" t="e">
        <f t="shared" ca="1" si="25"/>
        <v>#VALUE!</v>
      </c>
      <c r="Y29" s="54" t="s">
        <v>63</v>
      </c>
      <c r="Z29" t="e">
        <f t="shared" ca="1" si="39"/>
        <v>#VALUE!</v>
      </c>
      <c r="AA29" s="55" t="e">
        <f ca="1">IF($C29="S",IF($Z29="CP",$X29,IF($Z29="RA",(($X29)*[1]QCI!$AA$3),0)),SomaAgrup)</f>
        <v>#VALUE!</v>
      </c>
      <c r="AB29" s="56" t="e">
        <f t="shared" ca="1" si="26"/>
        <v>#VALUE!</v>
      </c>
      <c r="AC29" s="57" t="e">
        <f ca="1">IF($N29="","",IF(ORÇAMENTO.Descricao="","DESCRIÇÃO",IF(AND($C29="S",ORÇAMENTO.Unidade=""),"UNIDADE",IF($X29&lt;0,"VALOR NEGATIVO",IF(OR(AND(TIPOORCAMENTO="Proposto",$AG29&lt;&gt;"",$AG29&gt;0,ORÇAMENTO.CustoUnitario&gt;$AG29),AND(TIPOORCAMENTO="LICITADO",ORÇAMENTO.PrecoUnitarioLicitado&gt;$AN29)),"ACIMA REF.","")))))</f>
        <v>#VALUE!</v>
      </c>
      <c r="AD29" t="str">
        <f ca="1">IF(C29&lt;=CRONO.NivelExibicao,MAX($AD$15:OFFSET(AD29,-1,0))+IF($C29&lt;&gt;1,1,MAX(1,COUNTIF([1]QCI!$A$13:$A$24,OFFSET($E29,-1,0)))),"")</f>
        <v/>
      </c>
      <c r="AE29" s="4" t="str">
        <f ca="1">IF(AND($C29="S",ORÇAMENTO.CodBarra&lt;&gt;""),IF(ORÇAMENTO.Fonte="",ORÇAMENTO.CodBarra,CONCATENATE(ORÇAMENTO.Fonte," ",ORÇAMENTO.CodBarra)))</f>
        <v xml:space="preserve">SINAPI COTAÇÃO </v>
      </c>
      <c r="AF29" s="58" t="e">
        <f ca="1">IF(ISERROR(INDIRECT(ORÇAMENTO.BancoRef)),"(abra o arquivo 'Referência "&amp;Excel_BuiltIn_Database&amp;".xls)",IF(OR($C29&lt;&gt;"S",ORÇAMENTO.CodBarra=""),"(Sem Código)",IF(ISERROR(MATCH($AE29,INDIRECT(ORÇAMENTO.BancoRef),0)),"(Código não identificado nas referências)",MATCH($AE29,INDIRECT(ORÇAMENTO.BancoRef),0))))</f>
        <v>#VALUE!</v>
      </c>
      <c r="AG29" s="59" t="e">
        <f ca="1">ROUND(IF(DESONERACAO="sim",REFERENCIA.Desonerado,REFERENCIA.NaoDesonerado),2)</f>
        <v>#VALUE!</v>
      </c>
      <c r="AH29" s="60">
        <f t="shared" si="27"/>
        <v>0.2223</v>
      </c>
      <c r="AJ29" s="61">
        <v>1</v>
      </c>
      <c r="AL29" s="62"/>
      <c r="AM29" s="63" t="e">
        <f t="shared" ca="1" si="0"/>
        <v>#VALUE!</v>
      </c>
      <c r="AN29" s="64">
        <f t="shared" si="28"/>
        <v>213823.34</v>
      </c>
    </row>
    <row r="30" spans="1:40" x14ac:dyDescent="0.2">
      <c r="A30">
        <f t="shared" si="24"/>
        <v>3</v>
      </c>
      <c r="B30">
        <f t="shared" ca="1" si="29"/>
        <v>3</v>
      </c>
      <c r="C30">
        <f t="shared" ca="1" si="30"/>
        <v>3</v>
      </c>
      <c r="D30">
        <f t="shared" ca="1" si="31"/>
        <v>2</v>
      </c>
      <c r="E30" t="e">
        <f ca="1">IF($C30=1,OFFSET(E30,-1,0)+MAX(1,COUNTIF([1]QCI!$A$13:$A$24,OFFSET('PLANILHA A LICITAR'!E30,-1,0))),OFFSET(E30,-1,0))</f>
        <v>#VALUE!</v>
      </c>
      <c r="F30">
        <f t="shared" ca="1" si="32"/>
        <v>1</v>
      </c>
      <c r="G30">
        <f t="shared" ca="1" si="33"/>
        <v>3</v>
      </c>
      <c r="H30">
        <f t="shared" ca="1" si="34"/>
        <v>0</v>
      </c>
      <c r="I30">
        <f t="shared" ca="1" si="35"/>
        <v>0</v>
      </c>
      <c r="J30">
        <f t="shared" ca="1" si="9"/>
        <v>15</v>
      </c>
      <c r="K30">
        <f ca="1">IF(OR($C30="S",$C30=0),0,MATCH(OFFSET($D30,0,$C30)+IF($C30&lt;&gt;1,1,COUNTIF([1]QCI!$A$13:$A$24,'PLANILHA A LICITAR'!E30)),OFFSET($D30,1,$C30,ROW($C$145)-ROW($C30)),0))</f>
        <v>2</v>
      </c>
      <c r="L30" s="42" t="e">
        <f t="shared" ca="1" si="36"/>
        <v>#VALUE!</v>
      </c>
      <c r="M30" s="43" t="s">
        <v>5</v>
      </c>
      <c r="N30" s="44" t="str">
        <f t="shared" ca="1" si="37"/>
        <v>Nível 3</v>
      </c>
      <c r="O30" s="45" t="e">
        <f t="shared" ca="1" si="38"/>
        <v>#VALUE!</v>
      </c>
      <c r="P30" s="46" t="s">
        <v>62</v>
      </c>
      <c r="Q30" s="47"/>
      <c r="R30" s="48" t="s">
        <v>97</v>
      </c>
      <c r="S30" s="49" t="s">
        <v>67</v>
      </c>
      <c r="T30" s="50" t="e">
        <f ca="1">OFFSET([1]CÁLCULO!H$15,ROW($T30)-ROW(T$15),0)</f>
        <v>#VALUE!</v>
      </c>
      <c r="U30" s="51"/>
      <c r="V30" s="52" t="s">
        <v>10</v>
      </c>
      <c r="W30" s="50">
        <f ca="1">IF($C30="S",ROUND(IF(TIPOORCAMENTO="Proposto",ORÇAMENTO.CustoUnitario*(1+$AH30),ORÇAMENTO.PrecoUnitarioLicitado),15-13*$AF$10),0)</f>
        <v>0</v>
      </c>
      <c r="X30" s="53" t="e">
        <f t="shared" ca="1" si="25"/>
        <v>#VALUE!</v>
      </c>
      <c r="Y30" s="54" t="s">
        <v>63</v>
      </c>
      <c r="Z30" t="e">
        <f t="shared" ca="1" si="39"/>
        <v>#VALUE!</v>
      </c>
      <c r="AA30" s="55" t="e">
        <f ca="1">IF($C30="S",IF($Z30="CP",$X30,IF($Z30="RA",(($X30)*[1]QCI!$AA$3),0)),SomaAgrup)</f>
        <v>#VALUE!</v>
      </c>
      <c r="AB30" s="56" t="e">
        <f t="shared" ca="1" si="26"/>
        <v>#VALUE!</v>
      </c>
      <c r="AC30" s="57" t="e">
        <f ca="1">IF($N30="","",IF(ORÇAMENTO.Descricao="","DESCRIÇÃO",IF(AND($C30="S",ORÇAMENTO.Unidade=""),"UNIDADE",IF($X30&lt;0,"VALOR NEGATIVO",IF(OR(AND(TIPOORCAMENTO="Proposto",$AG30&lt;&gt;"",$AG30&gt;0,ORÇAMENTO.CustoUnitario&gt;$AG30),AND(TIPOORCAMENTO="LICITADO",ORÇAMENTO.PrecoUnitarioLicitado&gt;$AN30)),"ACIMA REF.","")))))</f>
        <v>#VALUE!</v>
      </c>
      <c r="AD30" t="e">
        <f ca="1">IF(C30&lt;=CRONO.NivelExibicao,MAX($AD$15:OFFSET(AD30,-1,0))+IF($C30&lt;&gt;1,1,MAX(1,COUNTIF([1]QCI!$A$13:$A$24,OFFSET($E30,-1,0)))),"")</f>
        <v>#VALUE!</v>
      </c>
      <c r="AE30" s="4" t="b">
        <f ca="1">IF(AND($C30="S",ORÇAMENTO.CodBarra&lt;&gt;""),IF(ORÇAMENTO.Fonte="",ORÇAMENTO.CodBarra,CONCATENATE(ORÇAMENTO.Fonte," ",ORÇAMENTO.CodBarra)))</f>
        <v>0</v>
      </c>
      <c r="AF30" s="58" t="e">
        <f ca="1">IF(ISERROR(INDIRECT(ORÇAMENTO.BancoRef)),"(abra o arquivo 'Referência "&amp;Excel_BuiltIn_Database&amp;".xls)",IF(OR($C30&lt;&gt;"S",ORÇAMENTO.CodBarra=""),"(Sem Código)",IF(ISERROR(MATCH($AE30,INDIRECT(ORÇAMENTO.BancoRef),0)),"(Código não identificado nas referências)",MATCH($AE30,INDIRECT(ORÇAMENTO.BancoRef),0))))</f>
        <v>#VALUE!</v>
      </c>
      <c r="AG30" s="59" t="e">
        <f ca="1">ROUND(IF(DESONERACAO="sim",REFERENCIA.Desonerado,REFERENCIA.NaoDesonerado),2)</f>
        <v>#VALUE!</v>
      </c>
      <c r="AH30" s="60">
        <f t="shared" si="27"/>
        <v>0.2223</v>
      </c>
      <c r="AJ30" s="61"/>
      <c r="AL30" s="62"/>
      <c r="AM30" s="63" t="e">
        <f t="shared" ca="1" si="0"/>
        <v>#VALUE!</v>
      </c>
      <c r="AN30" s="64">
        <f t="shared" si="28"/>
        <v>0</v>
      </c>
    </row>
    <row r="31" spans="1:40" ht="38.25" x14ac:dyDescent="0.2">
      <c r="A31" t="str">
        <f t="shared" si="24"/>
        <v>S</v>
      </c>
      <c r="B31">
        <f t="shared" ca="1" si="29"/>
        <v>3</v>
      </c>
      <c r="C31" t="str">
        <f t="shared" ca="1" si="30"/>
        <v>S</v>
      </c>
      <c r="D31">
        <f t="shared" ca="1" si="31"/>
        <v>0</v>
      </c>
      <c r="E31" t="e">
        <f ca="1">IF($C31=1,OFFSET(E31,-1,0)+MAX(1,COUNTIF([1]QCI!$A$13:$A$24,OFFSET('PLANILHA A LICITAR'!E31,-1,0))),OFFSET(E31,-1,0))</f>
        <v>#VALUE!</v>
      </c>
      <c r="F31">
        <f t="shared" ca="1" si="32"/>
        <v>1</v>
      </c>
      <c r="G31">
        <f t="shared" ca="1" si="33"/>
        <v>3</v>
      </c>
      <c r="H31">
        <f t="shared" ca="1" si="34"/>
        <v>0</v>
      </c>
      <c r="I31" t="e">
        <f t="shared" ca="1" si="35"/>
        <v>#VALUE!</v>
      </c>
      <c r="J31">
        <f t="shared" ca="1" si="9"/>
        <v>0</v>
      </c>
      <c r="K31">
        <f ca="1">IF(OR($C31="S",$C31=0),0,MATCH(OFFSET($D31,0,$C31)+IF($C31&lt;&gt;1,1,COUNTIF([1]QCI!$A$13:$A$24,'PLANILHA A LICITAR'!E31)),OFFSET($D31,1,$C31,ROW($C$145)-ROW($C31)),0))</f>
        <v>0</v>
      </c>
      <c r="L31" s="42" t="e">
        <f t="shared" ca="1" si="36"/>
        <v>#VALUE!</v>
      </c>
      <c r="M31" s="43" t="s">
        <v>7</v>
      </c>
      <c r="N31" s="44" t="str">
        <f t="shared" ca="1" si="37"/>
        <v>Serviço</v>
      </c>
      <c r="O31" s="45" t="e">
        <f t="shared" ca="1" si="38"/>
        <v>#VALUE!</v>
      </c>
      <c r="P31" s="46" t="s">
        <v>62</v>
      </c>
      <c r="Q31" s="47" t="s">
        <v>98</v>
      </c>
      <c r="R31" s="48" t="s">
        <v>99</v>
      </c>
      <c r="S31" s="49" t="s">
        <v>75</v>
      </c>
      <c r="T31" s="50" t="e">
        <f ca="1">OFFSET([1]CÁLCULO!H$15,ROW($T31)-ROW(T$15),0)</f>
        <v>#VALUE!</v>
      </c>
      <c r="U31" s="51" t="e">
        <f ca="1">AG31</f>
        <v>#VALUE!</v>
      </c>
      <c r="V31" s="52" t="s">
        <v>10</v>
      </c>
      <c r="W31" s="50" t="e">
        <f ca="1">IF($C31="S",ROUND(IF(TIPOORCAMENTO="Proposto",ORÇAMENTO.CustoUnitario*(1+$AH31),ORÇAMENTO.PrecoUnitarioLicitado),15-13*$AF$10),0)</f>
        <v>#VALUE!</v>
      </c>
      <c r="X31" s="53" t="e">
        <f t="shared" ca="1" si="25"/>
        <v>#VALUE!</v>
      </c>
      <c r="Y31" s="54" t="s">
        <v>63</v>
      </c>
      <c r="Z31" t="e">
        <f t="shared" ca="1" si="39"/>
        <v>#VALUE!</v>
      </c>
      <c r="AA31" s="55" t="e">
        <f ca="1">IF($C31="S",IF($Z31="CP",$X31,IF($Z31="RA",(($X31)*[1]QCI!$AA$3),0)),SomaAgrup)</f>
        <v>#VALUE!</v>
      </c>
      <c r="AB31" s="56" t="e">
        <f t="shared" ca="1" si="26"/>
        <v>#VALUE!</v>
      </c>
      <c r="AC31" s="57" t="e">
        <f ca="1">IF($N31="","",IF(ORÇAMENTO.Descricao="","DESCRIÇÃO",IF(AND($C31="S",ORÇAMENTO.Unidade=""),"UNIDADE",IF($X31&lt;0,"VALOR NEGATIVO",IF(OR(AND(TIPOORCAMENTO="Proposto",$AG31&lt;&gt;"",$AG31&gt;0,ORÇAMENTO.CustoUnitario&gt;$AG31),AND(TIPOORCAMENTO="LICITADO",ORÇAMENTO.PrecoUnitarioLicitado&gt;$AN31)),"ACIMA REF.","")))))</f>
        <v>#VALUE!</v>
      </c>
      <c r="AD31" t="str">
        <f ca="1">IF(C31&lt;=CRONO.NivelExibicao,MAX($AD$15:OFFSET(AD31,-1,0))+IF($C31&lt;&gt;1,1,MAX(1,COUNTIF([1]QCI!$A$13:$A$24,OFFSET($E31,-1,0)))),"")</f>
        <v/>
      </c>
      <c r="AE31" s="4" t="str">
        <f ca="1">IF(AND($C31="S",ORÇAMENTO.CodBarra&lt;&gt;""),IF(ORÇAMENTO.Fonte="",ORÇAMENTO.CodBarra,CONCATENATE(ORÇAMENTO.Fonte," ",ORÇAMENTO.CodBarra)))</f>
        <v>SINAPI 103319</v>
      </c>
      <c r="AF31" s="58" t="e">
        <f ca="1">IF(ISERROR(INDIRECT(ORÇAMENTO.BancoRef)),"(abra o arquivo 'Referência "&amp;Excel_BuiltIn_Database&amp;".xls)",IF(OR($C31&lt;&gt;"S",ORÇAMENTO.CodBarra=""),"(Sem Código)",IF(ISERROR(MATCH($AE31,INDIRECT(ORÇAMENTO.BancoRef),0)),"(Código não identificado nas referências)",MATCH($AE31,INDIRECT(ORÇAMENTO.BancoRef),0))))</f>
        <v>#VALUE!</v>
      </c>
      <c r="AG31" s="59" t="e">
        <f ca="1">ROUND(IF(DESONERACAO="sim",REFERENCIA.Desonerado,REFERENCIA.NaoDesonerado),2)</f>
        <v>#VALUE!</v>
      </c>
      <c r="AH31" s="60">
        <f t="shared" si="27"/>
        <v>0.2223</v>
      </c>
      <c r="AJ31" s="61">
        <v>16.53</v>
      </c>
      <c r="AL31" s="62"/>
      <c r="AM31" s="63" t="e">
        <f t="shared" ca="1" si="0"/>
        <v>#VALUE!</v>
      </c>
      <c r="AN31" s="64" t="e">
        <f t="shared" ca="1" si="28"/>
        <v>#VALUE!</v>
      </c>
    </row>
    <row r="32" spans="1:40" x14ac:dyDescent="0.2">
      <c r="A32">
        <f t="shared" si="24"/>
        <v>3</v>
      </c>
      <c r="B32">
        <f t="shared" ca="1" si="29"/>
        <v>3</v>
      </c>
      <c r="C32">
        <f t="shared" ca="1" si="30"/>
        <v>3</v>
      </c>
      <c r="D32">
        <f t="shared" ca="1" si="31"/>
        <v>3</v>
      </c>
      <c r="E32" t="e">
        <f ca="1">IF($C32=1,OFFSET(E32,-1,0)+MAX(1,COUNTIF([1]QCI!$A$13:$A$24,OFFSET('PLANILHA A LICITAR'!E32,-1,0))),OFFSET(E32,-1,0))</f>
        <v>#VALUE!</v>
      </c>
      <c r="F32">
        <f t="shared" ca="1" si="32"/>
        <v>1</v>
      </c>
      <c r="G32">
        <f t="shared" ca="1" si="33"/>
        <v>4</v>
      </c>
      <c r="H32">
        <f t="shared" ca="1" si="34"/>
        <v>0</v>
      </c>
      <c r="I32">
        <f t="shared" ca="1" si="35"/>
        <v>0</v>
      </c>
      <c r="J32">
        <f t="shared" ca="1" si="9"/>
        <v>13</v>
      </c>
      <c r="K32">
        <f ca="1">IF(OR($C32="S",$C32=0),0,MATCH(OFFSET($D32,0,$C32)+IF($C32&lt;&gt;1,1,COUNTIF([1]QCI!$A$13:$A$24,'PLANILHA A LICITAR'!E32)),OFFSET($D32,1,$C32,ROW($C$145)-ROW($C32)),0))</f>
        <v>3</v>
      </c>
      <c r="L32" s="42" t="e">
        <f t="shared" ca="1" si="36"/>
        <v>#VALUE!</v>
      </c>
      <c r="M32" s="43" t="s">
        <v>5</v>
      </c>
      <c r="N32" s="44" t="str">
        <f t="shared" ca="1" si="37"/>
        <v>Nível 3</v>
      </c>
      <c r="O32" s="45" t="e">
        <f t="shared" ca="1" si="38"/>
        <v>#VALUE!</v>
      </c>
      <c r="P32" s="46" t="s">
        <v>62</v>
      </c>
      <c r="Q32" s="47"/>
      <c r="R32" s="48" t="s">
        <v>100</v>
      </c>
      <c r="S32" s="49" t="s">
        <v>67</v>
      </c>
      <c r="T32" s="50" t="e">
        <f ca="1">OFFSET([1]CÁLCULO!H$15,ROW($T32)-ROW(T$15),0)</f>
        <v>#VALUE!</v>
      </c>
      <c r="U32" s="51"/>
      <c r="V32" s="52" t="s">
        <v>10</v>
      </c>
      <c r="W32" s="50">
        <f ca="1">IF($C32="S",ROUND(IF(TIPOORCAMENTO="Proposto",ORÇAMENTO.CustoUnitario*(1+$AH32),ORÇAMENTO.PrecoUnitarioLicitado),15-13*$AF$10),0)</f>
        <v>0</v>
      </c>
      <c r="X32" s="53" t="e">
        <f t="shared" ca="1" si="25"/>
        <v>#VALUE!</v>
      </c>
      <c r="Y32" s="54" t="s">
        <v>63</v>
      </c>
      <c r="Z32" t="e">
        <f t="shared" ca="1" si="39"/>
        <v>#VALUE!</v>
      </c>
      <c r="AA32" s="55" t="e">
        <f ca="1">IF($C32="S",IF($Z32="CP",$X32,IF($Z32="RA",(($X32)*[1]QCI!$AA$3),0)),SomaAgrup)</f>
        <v>#VALUE!</v>
      </c>
      <c r="AB32" s="56" t="e">
        <f t="shared" ca="1" si="26"/>
        <v>#VALUE!</v>
      </c>
      <c r="AC32" s="57" t="e">
        <f ca="1">IF($N32="","",IF(ORÇAMENTO.Descricao="","DESCRIÇÃO",IF(AND($C32="S",ORÇAMENTO.Unidade=""),"UNIDADE",IF($X32&lt;0,"VALOR NEGATIVO",IF(OR(AND(TIPOORCAMENTO="Proposto",$AG32&lt;&gt;"",$AG32&gt;0,ORÇAMENTO.CustoUnitario&gt;$AG32),AND(TIPOORCAMENTO="LICITADO",ORÇAMENTO.PrecoUnitarioLicitado&gt;$AN32)),"ACIMA REF.","")))))</f>
        <v>#VALUE!</v>
      </c>
      <c r="AD32" t="e">
        <f ca="1">IF(C32&lt;=CRONO.NivelExibicao,MAX($AD$15:OFFSET(AD32,-1,0))+IF($C32&lt;&gt;1,1,MAX(1,COUNTIF([1]QCI!$A$13:$A$24,OFFSET($E32,-1,0)))),"")</f>
        <v>#VALUE!</v>
      </c>
      <c r="AE32" s="4" t="b">
        <f ca="1">IF(AND($C32="S",ORÇAMENTO.CodBarra&lt;&gt;""),IF(ORÇAMENTO.Fonte="",ORÇAMENTO.CodBarra,CONCATENATE(ORÇAMENTO.Fonte," ",ORÇAMENTO.CodBarra)))</f>
        <v>0</v>
      </c>
      <c r="AF32" s="58" t="e">
        <f ca="1">IF(ISERROR(INDIRECT(ORÇAMENTO.BancoRef)),"(abra o arquivo 'Referência "&amp;Excel_BuiltIn_Database&amp;".xls)",IF(OR($C32&lt;&gt;"S",ORÇAMENTO.CodBarra=""),"(Sem Código)",IF(ISERROR(MATCH($AE32,INDIRECT(ORÇAMENTO.BancoRef),0)),"(Código não identificado nas referências)",MATCH($AE32,INDIRECT(ORÇAMENTO.BancoRef),0))))</f>
        <v>#VALUE!</v>
      </c>
      <c r="AG32" s="59" t="e">
        <f ca="1">ROUND(IF(DESONERACAO="sim",REFERENCIA.Desonerado,REFERENCIA.NaoDesonerado),2)</f>
        <v>#VALUE!</v>
      </c>
      <c r="AH32" s="60">
        <f t="shared" si="27"/>
        <v>0.2223</v>
      </c>
      <c r="AJ32" s="61"/>
      <c r="AL32" s="62"/>
      <c r="AM32" s="63" t="e">
        <f t="shared" ca="1" si="0"/>
        <v>#VALUE!</v>
      </c>
      <c r="AN32" s="64">
        <f t="shared" si="28"/>
        <v>0</v>
      </c>
    </row>
    <row r="33" spans="1:40" ht="38.25" x14ac:dyDescent="0.2">
      <c r="A33" t="str">
        <f t="shared" si="24"/>
        <v>S</v>
      </c>
      <c r="B33">
        <f t="shared" ca="1" si="29"/>
        <v>3</v>
      </c>
      <c r="C33" t="str">
        <f t="shared" ca="1" si="30"/>
        <v>S</v>
      </c>
      <c r="D33">
        <f t="shared" ca="1" si="31"/>
        <v>0</v>
      </c>
      <c r="E33" t="e">
        <f ca="1">IF($C33=1,OFFSET(E33,-1,0)+MAX(1,COUNTIF([1]QCI!$A$13:$A$24,OFFSET('PLANILHA A LICITAR'!E33,-1,0))),OFFSET(E33,-1,0))</f>
        <v>#VALUE!</v>
      </c>
      <c r="F33">
        <f t="shared" ca="1" si="32"/>
        <v>1</v>
      </c>
      <c r="G33">
        <f t="shared" ca="1" si="33"/>
        <v>4</v>
      </c>
      <c r="H33">
        <f t="shared" ca="1" si="34"/>
        <v>0</v>
      </c>
      <c r="I33" t="e">
        <f t="shared" ca="1" si="35"/>
        <v>#VALUE!</v>
      </c>
      <c r="J33">
        <f t="shared" ca="1" si="9"/>
        <v>0</v>
      </c>
      <c r="K33">
        <f ca="1">IF(OR($C33="S",$C33=0),0,MATCH(OFFSET($D33,0,$C33)+IF($C33&lt;&gt;1,1,COUNTIF([1]QCI!$A$13:$A$24,'PLANILHA A LICITAR'!E33)),OFFSET($D33,1,$C33,ROW($C$145)-ROW($C33)),0))</f>
        <v>0</v>
      </c>
      <c r="L33" s="42" t="e">
        <f t="shared" ca="1" si="36"/>
        <v>#VALUE!</v>
      </c>
      <c r="M33" s="43" t="s">
        <v>7</v>
      </c>
      <c r="N33" s="44" t="str">
        <f t="shared" ca="1" si="37"/>
        <v>Serviço</v>
      </c>
      <c r="O33" s="45" t="e">
        <f t="shared" ca="1" si="38"/>
        <v>#VALUE!</v>
      </c>
      <c r="P33" s="46" t="s">
        <v>62</v>
      </c>
      <c r="Q33" s="47">
        <v>87878</v>
      </c>
      <c r="R33" s="48" t="s">
        <v>101</v>
      </c>
      <c r="S33" s="49" t="s">
        <v>75</v>
      </c>
      <c r="T33" s="50" t="e">
        <f ca="1">OFFSET([1]CÁLCULO!H$15,ROW($T33)-ROW(T$15),0)</f>
        <v>#VALUE!</v>
      </c>
      <c r="U33" s="51" t="e">
        <f ca="1">AG33</f>
        <v>#VALUE!</v>
      </c>
      <c r="V33" s="52" t="s">
        <v>10</v>
      </c>
      <c r="W33" s="50" t="e">
        <f ca="1">IF($C33="S",ROUND(IF(TIPOORCAMENTO="Proposto",ORÇAMENTO.CustoUnitario*(1+$AH33),ORÇAMENTO.PrecoUnitarioLicitado),15-13*$AF$10),0)</f>
        <v>#VALUE!</v>
      </c>
      <c r="X33" s="53" t="e">
        <f t="shared" ca="1" si="25"/>
        <v>#VALUE!</v>
      </c>
      <c r="Y33" s="54" t="s">
        <v>63</v>
      </c>
      <c r="Z33" t="e">
        <f t="shared" ca="1" si="39"/>
        <v>#VALUE!</v>
      </c>
      <c r="AA33" s="55" t="e">
        <f ca="1">IF($C33="S",IF($Z33="CP",$X33,IF($Z33="RA",(($X33)*[1]QCI!$AA$3),0)),SomaAgrup)</f>
        <v>#VALUE!</v>
      </c>
      <c r="AB33" s="56" t="e">
        <f t="shared" ca="1" si="26"/>
        <v>#VALUE!</v>
      </c>
      <c r="AC33" s="57" t="e">
        <f ca="1">IF($N33="","",IF(ORÇAMENTO.Descricao="","DESCRIÇÃO",IF(AND($C33="S",ORÇAMENTO.Unidade=""),"UNIDADE",IF($X33&lt;0,"VALOR NEGATIVO",IF(OR(AND(TIPOORCAMENTO="Proposto",$AG33&lt;&gt;"",$AG33&gt;0,ORÇAMENTO.CustoUnitario&gt;$AG33),AND(TIPOORCAMENTO="LICITADO",ORÇAMENTO.PrecoUnitarioLicitado&gt;$AN33)),"ACIMA REF.","")))))</f>
        <v>#VALUE!</v>
      </c>
      <c r="AD33" t="str">
        <f ca="1">IF(C33&lt;=CRONO.NivelExibicao,MAX($AD$15:OFFSET(AD33,-1,0))+IF($C33&lt;&gt;1,1,MAX(1,COUNTIF([1]QCI!$A$13:$A$24,OFFSET($E33,-1,0)))),"")</f>
        <v/>
      </c>
      <c r="AE33" s="4" t="str">
        <f ca="1">IF(AND($C33="S",ORÇAMENTO.CodBarra&lt;&gt;""),IF(ORÇAMENTO.Fonte="",ORÇAMENTO.CodBarra,CONCATENATE(ORÇAMENTO.Fonte," ",ORÇAMENTO.CodBarra)))</f>
        <v>SINAPI 87878</v>
      </c>
      <c r="AF33" s="58" t="e">
        <f ca="1">IF(ISERROR(INDIRECT(ORÇAMENTO.BancoRef)),"(abra o arquivo 'Referência "&amp;Excel_BuiltIn_Database&amp;".xls)",IF(OR($C33&lt;&gt;"S",ORÇAMENTO.CodBarra=""),"(Sem Código)",IF(ISERROR(MATCH($AE33,INDIRECT(ORÇAMENTO.BancoRef),0)),"(Código não identificado nas referências)",MATCH($AE33,INDIRECT(ORÇAMENTO.BancoRef),0))))</f>
        <v>#VALUE!</v>
      </c>
      <c r="AG33" s="59" t="e">
        <f ca="1">ROUND(IF(DESONERACAO="sim",REFERENCIA.Desonerado,REFERENCIA.NaoDesonerado),2)</f>
        <v>#VALUE!</v>
      </c>
      <c r="AH33" s="60">
        <f t="shared" si="27"/>
        <v>0.2223</v>
      </c>
      <c r="AJ33" s="61">
        <f>AJ31*2</f>
        <v>33.06</v>
      </c>
      <c r="AL33" s="62"/>
      <c r="AM33" s="63" t="e">
        <f t="shared" ca="1" si="0"/>
        <v>#VALUE!</v>
      </c>
      <c r="AN33" s="64" t="e">
        <f t="shared" ca="1" si="28"/>
        <v>#VALUE!</v>
      </c>
    </row>
    <row r="34" spans="1:40" ht="51" x14ac:dyDescent="0.2">
      <c r="A34" t="str">
        <f t="shared" si="24"/>
        <v>S</v>
      </c>
      <c r="B34">
        <f t="shared" ca="1" si="29"/>
        <v>3</v>
      </c>
      <c r="C34" t="str">
        <f t="shared" ca="1" si="30"/>
        <v>S</v>
      </c>
      <c r="D34">
        <f t="shared" ca="1" si="31"/>
        <v>0</v>
      </c>
      <c r="E34" t="e">
        <f ca="1">IF($C34=1,OFFSET(E34,-1,0)+MAX(1,COUNTIF([1]QCI!$A$13:$A$24,OFFSET('PLANILHA A LICITAR'!E34,-1,0))),OFFSET(E34,-1,0))</f>
        <v>#VALUE!</v>
      </c>
      <c r="F34">
        <f t="shared" ca="1" si="32"/>
        <v>1</v>
      </c>
      <c r="G34">
        <f t="shared" ca="1" si="33"/>
        <v>4</v>
      </c>
      <c r="H34">
        <f t="shared" ca="1" si="34"/>
        <v>0</v>
      </c>
      <c r="I34" t="e">
        <f t="shared" ca="1" si="35"/>
        <v>#VALUE!</v>
      </c>
      <c r="J34">
        <f t="shared" ca="1" si="9"/>
        <v>0</v>
      </c>
      <c r="K34">
        <f ca="1">IF(OR($C34="S",$C34=0),0,MATCH(OFFSET($D34,0,$C34)+IF($C34&lt;&gt;1,1,COUNTIF([1]QCI!$A$13:$A$24,'PLANILHA A LICITAR'!E34)),OFFSET($D34,1,$C34,ROW($C$145)-ROW($C34)),0))</f>
        <v>0</v>
      </c>
      <c r="L34" s="42" t="e">
        <f t="shared" ca="1" si="36"/>
        <v>#VALUE!</v>
      </c>
      <c r="M34" s="43" t="s">
        <v>7</v>
      </c>
      <c r="N34" s="44" t="str">
        <f t="shared" ca="1" si="37"/>
        <v>Serviço</v>
      </c>
      <c r="O34" s="45" t="e">
        <f t="shared" ca="1" si="38"/>
        <v>#VALUE!</v>
      </c>
      <c r="P34" s="46" t="s">
        <v>62</v>
      </c>
      <c r="Q34" s="47">
        <v>87529</v>
      </c>
      <c r="R34" s="48" t="s">
        <v>102</v>
      </c>
      <c r="S34" s="49" t="s">
        <v>75</v>
      </c>
      <c r="T34" s="50" t="e">
        <f ca="1">OFFSET([1]CÁLCULO!H$15,ROW($T34)-ROW(T$15),0)</f>
        <v>#VALUE!</v>
      </c>
      <c r="U34" s="51" t="e">
        <f ca="1">AG34</f>
        <v>#VALUE!</v>
      </c>
      <c r="V34" s="52" t="s">
        <v>10</v>
      </c>
      <c r="W34" s="50" t="e">
        <f ca="1">IF($C34="S",ROUND(IF(TIPOORCAMENTO="Proposto",ORÇAMENTO.CustoUnitario*(1+$AH34),ORÇAMENTO.PrecoUnitarioLicitado),15-13*$AF$10),0)</f>
        <v>#VALUE!</v>
      </c>
      <c r="X34" s="53" t="e">
        <f t="shared" ca="1" si="25"/>
        <v>#VALUE!</v>
      </c>
      <c r="Y34" s="54" t="s">
        <v>63</v>
      </c>
      <c r="Z34" t="e">
        <f t="shared" ca="1" si="39"/>
        <v>#VALUE!</v>
      </c>
      <c r="AA34" s="55" t="e">
        <f ca="1">IF($C34="S",IF($Z34="CP",$X34,IF($Z34="RA",(($X34)*[1]QCI!$AA$3),0)),SomaAgrup)</f>
        <v>#VALUE!</v>
      </c>
      <c r="AB34" s="56" t="e">
        <f t="shared" ca="1" si="26"/>
        <v>#VALUE!</v>
      </c>
      <c r="AC34" s="57" t="e">
        <f ca="1">IF($N34="","",IF(ORÇAMENTO.Descricao="","DESCRIÇÃO",IF(AND($C34="S",ORÇAMENTO.Unidade=""),"UNIDADE",IF($X34&lt;0,"VALOR NEGATIVO",IF(OR(AND(TIPOORCAMENTO="Proposto",$AG34&lt;&gt;"",$AG34&gt;0,ORÇAMENTO.CustoUnitario&gt;$AG34),AND(TIPOORCAMENTO="LICITADO",ORÇAMENTO.PrecoUnitarioLicitado&gt;$AN34)),"ACIMA REF.","")))))</f>
        <v>#VALUE!</v>
      </c>
      <c r="AD34" t="str">
        <f ca="1">IF(C34&lt;=CRONO.NivelExibicao,MAX($AD$15:OFFSET(AD34,-1,0))+IF($C34&lt;&gt;1,1,MAX(1,COUNTIF([1]QCI!$A$13:$A$24,OFFSET($E34,-1,0)))),"")</f>
        <v/>
      </c>
      <c r="AE34" s="4" t="str">
        <f ca="1">IF(AND($C34="S",ORÇAMENTO.CodBarra&lt;&gt;""),IF(ORÇAMENTO.Fonte="",ORÇAMENTO.CodBarra,CONCATENATE(ORÇAMENTO.Fonte," ",ORÇAMENTO.CodBarra)))</f>
        <v>SINAPI 87529</v>
      </c>
      <c r="AF34" s="58" t="e">
        <f ca="1">IF(ISERROR(INDIRECT(ORÇAMENTO.BancoRef)),"(abra o arquivo 'Referência "&amp;Excel_BuiltIn_Database&amp;".xls)",IF(OR($C34&lt;&gt;"S",ORÇAMENTO.CodBarra=""),"(Sem Código)",IF(ISERROR(MATCH($AE34,INDIRECT(ORÇAMENTO.BancoRef),0)),"(Código não identificado nas referências)",MATCH($AE34,INDIRECT(ORÇAMENTO.BancoRef),0))))</f>
        <v>#VALUE!</v>
      </c>
      <c r="AG34" s="59" t="e">
        <f ca="1">ROUND(IF(DESONERACAO="sim",REFERENCIA.Desonerado,REFERENCIA.NaoDesonerado),2)</f>
        <v>#VALUE!</v>
      </c>
      <c r="AH34" s="60">
        <f t="shared" si="27"/>
        <v>0.2223</v>
      </c>
      <c r="AJ34" s="61">
        <v>33.06</v>
      </c>
      <c r="AL34" s="62"/>
      <c r="AM34" s="63" t="e">
        <f t="shared" ca="1" si="0"/>
        <v>#VALUE!</v>
      </c>
      <c r="AN34" s="64" t="e">
        <f t="shared" ca="1" si="28"/>
        <v>#VALUE!</v>
      </c>
    </row>
    <row r="35" spans="1:40" x14ac:dyDescent="0.2">
      <c r="A35">
        <f t="shared" si="24"/>
        <v>3</v>
      </c>
      <c r="B35">
        <f t="shared" ca="1" si="29"/>
        <v>3</v>
      </c>
      <c r="C35">
        <f t="shared" ca="1" si="30"/>
        <v>3</v>
      </c>
      <c r="D35">
        <f t="shared" ca="1" si="31"/>
        <v>4</v>
      </c>
      <c r="E35" t="e">
        <f ca="1">IF($C35=1,OFFSET(E35,-1,0)+MAX(1,COUNTIF([1]QCI!$A$13:$A$24,OFFSET('PLANILHA A LICITAR'!E35,-1,0))),OFFSET(E35,-1,0))</f>
        <v>#VALUE!</v>
      </c>
      <c r="F35">
        <f t="shared" ca="1" si="32"/>
        <v>1</v>
      </c>
      <c r="G35">
        <f t="shared" ca="1" si="33"/>
        <v>5</v>
      </c>
      <c r="H35">
        <f t="shared" ca="1" si="34"/>
        <v>0</v>
      </c>
      <c r="I35">
        <f t="shared" ca="1" si="35"/>
        <v>0</v>
      </c>
      <c r="J35">
        <f t="shared" ca="1" si="9"/>
        <v>10</v>
      </c>
      <c r="K35">
        <f ca="1">IF(OR($C35="S",$C35=0),0,MATCH(OFFSET($D35,0,$C35)+IF($C35&lt;&gt;1,1,COUNTIF([1]QCI!$A$13:$A$24,'PLANILHA A LICITAR'!E35)),OFFSET($D35,1,$C35,ROW($C$145)-ROW($C35)),0))</f>
        <v>4</v>
      </c>
      <c r="L35" s="42" t="e">
        <f t="shared" ca="1" si="36"/>
        <v>#VALUE!</v>
      </c>
      <c r="M35" s="43" t="s">
        <v>5</v>
      </c>
      <c r="N35" s="44" t="str">
        <f t="shared" ca="1" si="37"/>
        <v>Nível 3</v>
      </c>
      <c r="O35" s="45" t="e">
        <f t="shared" ca="1" si="38"/>
        <v>#VALUE!</v>
      </c>
      <c r="P35" s="46" t="s">
        <v>62</v>
      </c>
      <c r="Q35" s="47"/>
      <c r="R35" s="48" t="s">
        <v>103</v>
      </c>
      <c r="S35" s="49" t="s">
        <v>67</v>
      </c>
      <c r="T35" s="50" t="e">
        <f ca="1">OFFSET([1]CÁLCULO!H$15,ROW($T35)-ROW(T$15),0)</f>
        <v>#VALUE!</v>
      </c>
      <c r="U35" s="51"/>
      <c r="V35" s="52" t="s">
        <v>10</v>
      </c>
      <c r="W35" s="50">
        <f ca="1">IF($C35="S",ROUND(IF(TIPOORCAMENTO="Proposto",ORÇAMENTO.CustoUnitario*(1+$AH35),ORÇAMENTO.PrecoUnitarioLicitado),15-13*$AF$10),0)</f>
        <v>0</v>
      </c>
      <c r="X35" s="53" t="e">
        <f t="shared" ca="1" si="25"/>
        <v>#VALUE!</v>
      </c>
      <c r="Y35" s="54" t="s">
        <v>63</v>
      </c>
      <c r="Z35" t="e">
        <f t="shared" ca="1" si="39"/>
        <v>#VALUE!</v>
      </c>
      <c r="AA35" s="55" t="e">
        <f ca="1">IF($C35="S",IF($Z35="CP",$X35,IF($Z35="RA",(($X35)*[1]QCI!$AA$3),0)),SomaAgrup)</f>
        <v>#VALUE!</v>
      </c>
      <c r="AB35" s="56" t="e">
        <f t="shared" ca="1" si="26"/>
        <v>#VALUE!</v>
      </c>
      <c r="AC35" s="57" t="e">
        <f ca="1">IF($N35="","",IF(ORÇAMENTO.Descricao="","DESCRIÇÃO",IF(AND($C35="S",ORÇAMENTO.Unidade=""),"UNIDADE",IF($X35&lt;0,"VALOR NEGATIVO",IF(OR(AND(TIPOORCAMENTO="Proposto",$AG35&lt;&gt;"",$AG35&gt;0,ORÇAMENTO.CustoUnitario&gt;$AG35),AND(TIPOORCAMENTO="LICITADO",ORÇAMENTO.PrecoUnitarioLicitado&gt;$AN35)),"ACIMA REF.","")))))</f>
        <v>#VALUE!</v>
      </c>
      <c r="AD35" t="e">
        <f ca="1">IF(C35&lt;=CRONO.NivelExibicao,MAX($AD$15:OFFSET(AD35,-1,0))+IF($C35&lt;&gt;1,1,MAX(1,COUNTIF([1]QCI!$A$13:$A$24,OFFSET($E35,-1,0)))),"")</f>
        <v>#VALUE!</v>
      </c>
      <c r="AE35" s="4" t="b">
        <f ca="1">IF(AND($C35="S",ORÇAMENTO.CodBarra&lt;&gt;""),IF(ORÇAMENTO.Fonte="",ORÇAMENTO.CodBarra,CONCATENATE(ORÇAMENTO.Fonte," ",ORÇAMENTO.CodBarra)))</f>
        <v>0</v>
      </c>
      <c r="AF35" s="58" t="e">
        <f ca="1">IF(ISERROR(INDIRECT(ORÇAMENTO.BancoRef)),"(abra o arquivo 'Referência "&amp;Excel_BuiltIn_Database&amp;".xls)",IF(OR($C35&lt;&gt;"S",ORÇAMENTO.CodBarra=""),"(Sem Código)",IF(ISERROR(MATCH($AE35,INDIRECT(ORÇAMENTO.BancoRef),0)),"(Código não identificado nas referências)",MATCH($AE35,INDIRECT(ORÇAMENTO.BancoRef),0))))</f>
        <v>#VALUE!</v>
      </c>
      <c r="AG35" s="59" t="e">
        <f ca="1">ROUND(IF(DESONERACAO="sim",REFERENCIA.Desonerado,REFERENCIA.NaoDesonerado),2)</f>
        <v>#VALUE!</v>
      </c>
      <c r="AH35" s="60">
        <f t="shared" si="27"/>
        <v>0.2223</v>
      </c>
      <c r="AJ35" s="61"/>
      <c r="AL35" s="62"/>
      <c r="AM35" s="63" t="e">
        <f t="shared" ca="1" si="0"/>
        <v>#VALUE!</v>
      </c>
      <c r="AN35" s="64">
        <f t="shared" si="28"/>
        <v>0</v>
      </c>
    </row>
    <row r="36" spans="1:40" ht="51" x14ac:dyDescent="0.2">
      <c r="A36" t="str">
        <f t="shared" si="24"/>
        <v>S</v>
      </c>
      <c r="B36">
        <f t="shared" ca="1" si="29"/>
        <v>3</v>
      </c>
      <c r="C36" t="str">
        <f t="shared" ca="1" si="30"/>
        <v>S</v>
      </c>
      <c r="D36">
        <f t="shared" ca="1" si="31"/>
        <v>0</v>
      </c>
      <c r="E36" t="e">
        <f ca="1">IF($C36=1,OFFSET(E36,-1,0)+MAX(1,COUNTIF([1]QCI!$A$13:$A$24,OFFSET('PLANILHA A LICITAR'!E36,-1,0))),OFFSET(E36,-1,0))</f>
        <v>#VALUE!</v>
      </c>
      <c r="F36">
        <f t="shared" ca="1" si="32"/>
        <v>1</v>
      </c>
      <c r="G36">
        <f t="shared" ca="1" si="33"/>
        <v>5</v>
      </c>
      <c r="H36">
        <f t="shared" ca="1" si="34"/>
        <v>0</v>
      </c>
      <c r="I36" t="e">
        <f t="shared" ca="1" si="35"/>
        <v>#VALUE!</v>
      </c>
      <c r="J36">
        <f t="shared" ca="1" si="9"/>
        <v>0</v>
      </c>
      <c r="K36">
        <f ca="1">IF(OR($C36="S",$C36=0),0,MATCH(OFFSET($D36,0,$C36)+IF($C36&lt;&gt;1,1,COUNTIF([1]QCI!$A$13:$A$24,'PLANILHA A LICITAR'!E36)),OFFSET($D36,1,$C36,ROW($C$145)-ROW($C36)),0))</f>
        <v>0</v>
      </c>
      <c r="L36" s="42" t="e">
        <f t="shared" ca="1" si="36"/>
        <v>#VALUE!</v>
      </c>
      <c r="M36" s="43" t="s">
        <v>7</v>
      </c>
      <c r="N36" s="44" t="str">
        <f t="shared" ca="1" si="37"/>
        <v>Serviço</v>
      </c>
      <c r="O36" s="45" t="e">
        <f t="shared" ca="1" si="38"/>
        <v>#VALUE!</v>
      </c>
      <c r="P36" s="46" t="s">
        <v>62</v>
      </c>
      <c r="Q36" s="47">
        <v>25398</v>
      </c>
      <c r="R36" s="48" t="s">
        <v>104</v>
      </c>
      <c r="S36" s="49" t="s">
        <v>105</v>
      </c>
      <c r="T36" s="50" t="e">
        <f ca="1">OFFSET([1]CÁLCULO!H$15,ROW($T36)-ROW(T$15),0)</f>
        <v>#VALUE!</v>
      </c>
      <c r="U36" s="51">
        <v>5157.47</v>
      </c>
      <c r="V36" s="52" t="s">
        <v>10</v>
      </c>
      <c r="W36" s="50">
        <f ca="1">IF($C36="S",ROUND(IF(TIPOORCAMENTO="Proposto",ORÇAMENTO.CustoUnitario*(1+$AH36),ORÇAMENTO.PrecoUnitarioLicitado),15-13*$AF$10),0)</f>
        <v>6303.9755809999997</v>
      </c>
      <c r="X36" s="53" t="e">
        <f t="shared" ca="1" si="25"/>
        <v>#VALUE!</v>
      </c>
      <c r="Y36" s="54" t="s">
        <v>63</v>
      </c>
      <c r="Z36" t="e">
        <f t="shared" ca="1" si="39"/>
        <v>#VALUE!</v>
      </c>
      <c r="AA36" s="55" t="e">
        <f ca="1">IF($C36="S",IF($Z36="CP",$X36,IF($Z36="RA",(($X36)*[1]QCI!$AA$3),0)),SomaAgrup)</f>
        <v>#VALUE!</v>
      </c>
      <c r="AB36" s="56" t="e">
        <f t="shared" ca="1" si="26"/>
        <v>#VALUE!</v>
      </c>
      <c r="AC36" s="57" t="e">
        <f ca="1">IF($N36="","",IF(ORÇAMENTO.Descricao="","DESCRIÇÃO",IF(AND($C36="S",ORÇAMENTO.Unidade=""),"UNIDADE",IF($X36&lt;0,"VALOR NEGATIVO",IF(OR(AND(TIPOORCAMENTO="Proposto",$AG36&lt;&gt;"",$AG36&gt;0,ORÇAMENTO.CustoUnitario&gt;$AG36),AND(TIPOORCAMENTO="LICITADO",ORÇAMENTO.PrecoUnitarioLicitado&gt;$AN36)),"ACIMA REF.","")))))</f>
        <v>#VALUE!</v>
      </c>
      <c r="AD36" t="str">
        <f ca="1">IF(C36&lt;=CRONO.NivelExibicao,MAX($AD$15:OFFSET(AD36,-1,0))+IF($C36&lt;&gt;1,1,MAX(1,COUNTIF([1]QCI!$A$13:$A$24,OFFSET($E36,-1,0)))),"")</f>
        <v/>
      </c>
      <c r="AE36" s="4" t="str">
        <f ca="1">IF(AND($C36="S",ORÇAMENTO.CodBarra&lt;&gt;""),IF(ORÇAMENTO.Fonte="",ORÇAMENTO.CodBarra,CONCATENATE(ORÇAMENTO.Fonte," ",ORÇAMENTO.CodBarra)))</f>
        <v>SINAPI 25398</v>
      </c>
      <c r="AF36" s="58" t="e">
        <f ca="1">IF(ISERROR(INDIRECT(ORÇAMENTO.BancoRef)),"(abra o arquivo 'Referência "&amp;Excel_BuiltIn_Database&amp;".xls)",IF(OR($C36&lt;&gt;"S",ORÇAMENTO.CodBarra=""),"(Sem Código)",IF(ISERROR(MATCH($AE36,INDIRECT(ORÇAMENTO.BancoRef),0)),"(Código não identificado nas referências)",MATCH($AE36,INDIRECT(ORÇAMENTO.BancoRef),0))))</f>
        <v>#VALUE!</v>
      </c>
      <c r="AG36" s="59" t="e">
        <f ca="1">ROUND(IF(DESONERACAO="sim",REFERENCIA.Desonerado,REFERENCIA.NaoDesonerado),2)</f>
        <v>#VALUE!</v>
      </c>
      <c r="AH36" s="60">
        <f t="shared" si="27"/>
        <v>0.2223</v>
      </c>
      <c r="AJ36" s="61">
        <v>1</v>
      </c>
      <c r="AL36" s="62"/>
      <c r="AM36" s="63" t="e">
        <f t="shared" ca="1" si="0"/>
        <v>#VALUE!</v>
      </c>
      <c r="AN36" s="64">
        <f t="shared" si="28"/>
        <v>6303.98</v>
      </c>
    </row>
    <row r="37" spans="1:40" x14ac:dyDescent="0.2">
      <c r="A37" t="str">
        <f t="shared" si="24"/>
        <v>S</v>
      </c>
      <c r="B37">
        <f t="shared" ca="1" si="29"/>
        <v>3</v>
      </c>
      <c r="C37" t="str">
        <f t="shared" ca="1" si="30"/>
        <v>S</v>
      </c>
      <c r="D37">
        <f t="shared" ca="1" si="31"/>
        <v>0</v>
      </c>
      <c r="E37" t="e">
        <f ca="1">IF($C37=1,OFFSET(E37,-1,0)+MAX(1,COUNTIF([1]QCI!$A$13:$A$24,OFFSET('PLANILHA A LICITAR'!E37,-1,0))),OFFSET(E37,-1,0))</f>
        <v>#VALUE!</v>
      </c>
      <c r="F37">
        <f t="shared" ca="1" si="32"/>
        <v>1</v>
      </c>
      <c r="G37">
        <f t="shared" ca="1" si="33"/>
        <v>5</v>
      </c>
      <c r="H37">
        <f t="shared" ca="1" si="34"/>
        <v>0</v>
      </c>
      <c r="I37" t="e">
        <f t="shared" ca="1" si="35"/>
        <v>#VALUE!</v>
      </c>
      <c r="J37">
        <f t="shared" ca="1" si="9"/>
        <v>0</v>
      </c>
      <c r="K37">
        <f ca="1">IF(OR($C37="S",$C37=0),0,MATCH(OFFSET($D37,0,$C37)+IF($C37&lt;&gt;1,1,COUNTIF([1]QCI!$A$13:$A$24,'PLANILHA A LICITAR'!E37)),OFFSET($D37,1,$C37,ROW($C$145)-ROW($C37)),0))</f>
        <v>0</v>
      </c>
      <c r="L37" s="42" t="e">
        <f t="shared" ca="1" si="36"/>
        <v>#VALUE!</v>
      </c>
      <c r="M37" s="43" t="s">
        <v>7</v>
      </c>
      <c r="N37" s="44" t="str">
        <f t="shared" ca="1" si="37"/>
        <v>Serviço</v>
      </c>
      <c r="O37" s="45" t="e">
        <f t="shared" ca="1" si="38"/>
        <v>#VALUE!</v>
      </c>
      <c r="P37" s="46" t="s">
        <v>62</v>
      </c>
      <c r="Q37" s="47" t="s">
        <v>106</v>
      </c>
      <c r="R37" s="48" t="s">
        <v>107</v>
      </c>
      <c r="S37" s="49" t="s">
        <v>75</v>
      </c>
      <c r="T37" s="50" t="e">
        <f ca="1">OFFSET([1]CÁLCULO!H$15,ROW($T37)-ROW(T$15),0)</f>
        <v>#VALUE!</v>
      </c>
      <c r="U37" s="51">
        <v>9.26</v>
      </c>
      <c r="V37" s="52" t="s">
        <v>10</v>
      </c>
      <c r="W37" s="50">
        <f ca="1">IF($C37="S",ROUND(IF(TIPOORCAMENTO="Proposto",ORÇAMENTO.CustoUnitario*(1+$AH37),ORÇAMENTO.PrecoUnitarioLicitado),15-13*$AF$10),0)</f>
        <v>11.318498</v>
      </c>
      <c r="X37" s="53" t="e">
        <f t="shared" ca="1" si="25"/>
        <v>#VALUE!</v>
      </c>
      <c r="Y37" s="54" t="s">
        <v>63</v>
      </c>
      <c r="Z37" t="e">
        <f t="shared" ca="1" si="39"/>
        <v>#VALUE!</v>
      </c>
      <c r="AA37" s="55" t="e">
        <f ca="1">IF($C37="S",IF($Z37="CP",$X37,IF($Z37="RA",(($X37)*[1]QCI!$AA$3),0)),SomaAgrup)</f>
        <v>#VALUE!</v>
      </c>
      <c r="AB37" s="56" t="e">
        <f t="shared" ca="1" si="26"/>
        <v>#VALUE!</v>
      </c>
      <c r="AC37" s="57" t="e">
        <f ca="1">IF($N37="","",IF(ORÇAMENTO.Descricao="","DESCRIÇÃO",IF(AND($C37="S",ORÇAMENTO.Unidade=""),"UNIDADE",IF($X37&lt;0,"VALOR NEGATIVO",IF(OR(AND(TIPOORCAMENTO="Proposto",$AG37&lt;&gt;"",$AG37&gt;0,ORÇAMENTO.CustoUnitario&gt;$AG37),AND(TIPOORCAMENTO="LICITADO",ORÇAMENTO.PrecoUnitarioLicitado&gt;$AN37)),"ACIMA REF.","")))))</f>
        <v>#VALUE!</v>
      </c>
      <c r="AD37" t="str">
        <f ca="1">IF(C37&lt;=CRONO.NivelExibicao,MAX($AD$15:OFFSET(AD37,-1,0))+IF($C37&lt;&gt;1,1,MAX(1,COUNTIF([1]QCI!$A$13:$A$24,OFFSET($E37,-1,0)))),"")</f>
        <v/>
      </c>
      <c r="AE37" s="4" t="str">
        <f ca="1">IF(AND($C37="S",ORÇAMENTO.CodBarra&lt;&gt;""),IF(ORÇAMENTO.Fonte="",ORÇAMENTO.CodBarra,CONCATENATE(ORÇAMENTO.Fonte," ",ORÇAMENTO.CodBarra)))</f>
        <v>SINAPI deinfra 43870</v>
      </c>
      <c r="AF37" s="58" t="e">
        <f ca="1">IF(ISERROR(INDIRECT(ORÇAMENTO.BancoRef)),"(abra o arquivo 'Referência "&amp;Excel_BuiltIn_Database&amp;".xls)",IF(OR($C37&lt;&gt;"S",ORÇAMENTO.CodBarra=""),"(Sem Código)",IF(ISERROR(MATCH($AE37,INDIRECT(ORÇAMENTO.BancoRef),0)),"(Código não identificado nas referências)",MATCH($AE37,INDIRECT(ORÇAMENTO.BancoRef),0))))</f>
        <v>#VALUE!</v>
      </c>
      <c r="AG37" s="59" t="e">
        <f ca="1">ROUND(IF(DESONERACAO="sim",REFERENCIA.Desonerado,REFERENCIA.NaoDesonerado),2)</f>
        <v>#VALUE!</v>
      </c>
      <c r="AH37" s="60">
        <f t="shared" si="27"/>
        <v>0.2223</v>
      </c>
      <c r="AJ37" s="61">
        <v>469.35</v>
      </c>
      <c r="AL37" s="62"/>
      <c r="AM37" s="63" t="e">
        <f t="shared" ca="1" si="0"/>
        <v>#VALUE!</v>
      </c>
      <c r="AN37" s="64">
        <f t="shared" si="28"/>
        <v>11.32</v>
      </c>
    </row>
    <row r="38" spans="1:40" ht="25.5" x14ac:dyDescent="0.2">
      <c r="A38" t="str">
        <f t="shared" si="24"/>
        <v>S</v>
      </c>
      <c r="B38">
        <f t="shared" ca="1" si="29"/>
        <v>3</v>
      </c>
      <c r="C38" t="str">
        <f t="shared" ca="1" si="30"/>
        <v>S</v>
      </c>
      <c r="D38">
        <f t="shared" ca="1" si="31"/>
        <v>0</v>
      </c>
      <c r="E38" t="e">
        <f ca="1">IF($C38=1,OFFSET(E38,-1,0)+MAX(1,COUNTIF([1]QCI!$A$13:$A$24,OFFSET('PLANILHA A LICITAR'!E38,-1,0))),OFFSET(E38,-1,0))</f>
        <v>#VALUE!</v>
      </c>
      <c r="F38">
        <f t="shared" ca="1" si="32"/>
        <v>1</v>
      </c>
      <c r="G38">
        <f t="shared" ca="1" si="33"/>
        <v>5</v>
      </c>
      <c r="H38">
        <f t="shared" ca="1" si="34"/>
        <v>0</v>
      </c>
      <c r="I38" t="e">
        <f t="shared" ca="1" si="35"/>
        <v>#VALUE!</v>
      </c>
      <c r="J38">
        <f t="shared" ca="1" si="9"/>
        <v>0</v>
      </c>
      <c r="K38">
        <f ca="1">IF(OR($C38="S",$C38=0),0,MATCH(OFFSET($D38,0,$C38)+IF($C38&lt;&gt;1,1,COUNTIF([1]QCI!$A$13:$A$24,'PLANILHA A LICITAR'!E38)),OFFSET($D38,1,$C38,ROW($C$145)-ROW($C38)),0))</f>
        <v>0</v>
      </c>
      <c r="L38" s="42" t="e">
        <f t="shared" ca="1" si="36"/>
        <v>#VALUE!</v>
      </c>
      <c r="M38" s="43" t="s">
        <v>7</v>
      </c>
      <c r="N38" s="44" t="str">
        <f t="shared" ca="1" si="37"/>
        <v>Serviço</v>
      </c>
      <c r="O38" s="45" t="e">
        <f t="shared" ca="1" si="38"/>
        <v>#VALUE!</v>
      </c>
      <c r="P38" s="46" t="s">
        <v>62</v>
      </c>
      <c r="Q38" s="47" t="s">
        <v>108</v>
      </c>
      <c r="R38" s="48" t="s">
        <v>109</v>
      </c>
      <c r="S38" s="49" t="s">
        <v>96</v>
      </c>
      <c r="T38" s="50" t="e">
        <f ca="1">OFFSET([1]CÁLCULO!H$15,ROW($T38)-ROW(T$15),0)</f>
        <v>#VALUE!</v>
      </c>
      <c r="U38" s="51">
        <v>180</v>
      </c>
      <c r="V38" s="52" t="s">
        <v>10</v>
      </c>
      <c r="W38" s="50">
        <f ca="1">IF($C38="S",ROUND(IF(TIPOORCAMENTO="Proposto",ORÇAMENTO.CustoUnitario*(1+$AH38),ORÇAMENTO.PrecoUnitarioLicitado),15-13*$AF$10),0)</f>
        <v>220.01400000000001</v>
      </c>
      <c r="X38" s="53" t="e">
        <f t="shared" ca="1" si="25"/>
        <v>#VALUE!</v>
      </c>
      <c r="Y38" s="54" t="s">
        <v>63</v>
      </c>
      <c r="Z38" t="e">
        <f t="shared" ca="1" si="39"/>
        <v>#VALUE!</v>
      </c>
      <c r="AA38" s="55" t="e">
        <f ca="1">IF($C38="S",IF($Z38="CP",$X38,IF($Z38="RA",(($X38)*[1]QCI!$AA$3),0)),SomaAgrup)</f>
        <v>#VALUE!</v>
      </c>
      <c r="AB38" s="56" t="e">
        <f t="shared" ca="1" si="26"/>
        <v>#VALUE!</v>
      </c>
      <c r="AC38" s="57" t="e">
        <f ca="1">IF($N38="","",IF(ORÇAMENTO.Descricao="","DESCRIÇÃO",IF(AND($C38="S",ORÇAMENTO.Unidade=""),"UNIDADE",IF($X38&lt;0,"VALOR NEGATIVO",IF(OR(AND(TIPOORCAMENTO="Proposto",$AG38&lt;&gt;"",$AG38&gt;0,ORÇAMENTO.CustoUnitario&gt;$AG38),AND(TIPOORCAMENTO="LICITADO",ORÇAMENTO.PrecoUnitarioLicitado&gt;$AN38)),"ACIMA REF.","")))))</f>
        <v>#VALUE!</v>
      </c>
      <c r="AD38" t="str">
        <f ca="1">IF(C38&lt;=CRONO.NivelExibicao,MAX($AD$15:OFFSET(AD38,-1,0))+IF($C38&lt;&gt;1,1,MAX(1,COUNTIF([1]QCI!$A$13:$A$24,OFFSET($E38,-1,0)))),"")</f>
        <v/>
      </c>
      <c r="AE38" s="4" t="str">
        <f ca="1">IF(AND($C38="S",ORÇAMENTO.CodBarra&lt;&gt;""),IF(ORÇAMENTO.Fonte="",ORÇAMENTO.CodBarra,CONCATENATE(ORÇAMENTO.Fonte," ",ORÇAMENTO.CodBarra)))</f>
        <v>SINAPI 03</v>
      </c>
      <c r="AF38" s="58" t="e">
        <f ca="1">IF(ISERROR(INDIRECT(ORÇAMENTO.BancoRef)),"(abra o arquivo 'Referência "&amp;Excel_BuiltIn_Database&amp;".xls)",IF(OR($C38&lt;&gt;"S",ORÇAMENTO.CodBarra=""),"(Sem Código)",IF(ISERROR(MATCH($AE38,INDIRECT(ORÇAMENTO.BancoRef),0)),"(Código não identificado nas referências)",MATCH($AE38,INDIRECT(ORÇAMENTO.BancoRef),0))))</f>
        <v>#VALUE!</v>
      </c>
      <c r="AG38" s="59" t="e">
        <f ca="1">ROUND(IF(DESONERACAO="sim",REFERENCIA.Desonerado,REFERENCIA.NaoDesonerado),2)</f>
        <v>#VALUE!</v>
      </c>
      <c r="AH38" s="60">
        <f t="shared" si="27"/>
        <v>0.2223</v>
      </c>
      <c r="AJ38" s="61">
        <v>240</v>
      </c>
      <c r="AL38" s="62"/>
      <c r="AM38" s="63" t="e">
        <f t="shared" ca="1" si="0"/>
        <v>#VALUE!</v>
      </c>
      <c r="AN38" s="64">
        <f t="shared" si="28"/>
        <v>220.01</v>
      </c>
    </row>
    <row r="39" spans="1:40" x14ac:dyDescent="0.2">
      <c r="A39">
        <f t="shared" si="24"/>
        <v>3</v>
      </c>
      <c r="B39">
        <f t="shared" ca="1" si="29"/>
        <v>3</v>
      </c>
      <c r="C39">
        <f t="shared" ca="1" si="30"/>
        <v>3</v>
      </c>
      <c r="D39">
        <f t="shared" ca="1" si="31"/>
        <v>2</v>
      </c>
      <c r="E39" t="e">
        <f ca="1">IF($C39=1,OFFSET(E39,-1,0)+MAX(1,COUNTIF([1]QCI!$A$13:$A$24,OFFSET('PLANILHA A LICITAR'!E39,-1,0))),OFFSET(E39,-1,0))</f>
        <v>#VALUE!</v>
      </c>
      <c r="F39">
        <f t="shared" ca="1" si="32"/>
        <v>1</v>
      </c>
      <c r="G39">
        <f t="shared" ca="1" si="33"/>
        <v>6</v>
      </c>
      <c r="H39">
        <f t="shared" ca="1" si="34"/>
        <v>0</v>
      </c>
      <c r="I39">
        <f t="shared" ca="1" si="35"/>
        <v>0</v>
      </c>
      <c r="J39">
        <f t="shared" ca="1" si="9"/>
        <v>6</v>
      </c>
      <c r="K39">
        <f ca="1">IF(OR($C39="S",$C39=0),0,MATCH(OFFSET($D39,0,$C39)+IF($C39&lt;&gt;1,1,COUNTIF([1]QCI!$A$13:$A$24,'PLANILHA A LICITAR'!E39)),OFFSET($D39,1,$C39,ROW($C$145)-ROW($C39)),0))</f>
        <v>2</v>
      </c>
      <c r="L39" s="42" t="e">
        <f t="shared" ca="1" si="36"/>
        <v>#VALUE!</v>
      </c>
      <c r="M39" s="43" t="s">
        <v>5</v>
      </c>
      <c r="N39" s="44" t="str">
        <f t="shared" ca="1" si="37"/>
        <v>Nível 3</v>
      </c>
      <c r="O39" s="45" t="e">
        <f t="shared" ca="1" si="38"/>
        <v>#VALUE!</v>
      </c>
      <c r="P39" s="46" t="s">
        <v>62</v>
      </c>
      <c r="Q39" s="47"/>
      <c r="R39" s="48" t="s">
        <v>110</v>
      </c>
      <c r="S39" s="49" t="s">
        <v>67</v>
      </c>
      <c r="T39" s="50" t="e">
        <f ca="1">OFFSET([1]CÁLCULO!H$15,ROW($T39)-ROW(T$15),0)</f>
        <v>#VALUE!</v>
      </c>
      <c r="U39" s="51"/>
      <c r="V39" s="52" t="s">
        <v>10</v>
      </c>
      <c r="W39" s="50">
        <f ca="1">IF($C39="S",ROUND(IF(TIPOORCAMENTO="Proposto",ORÇAMENTO.CustoUnitario*(1+$AH39),ORÇAMENTO.PrecoUnitarioLicitado),15-13*$AF$10),0)</f>
        <v>0</v>
      </c>
      <c r="X39" s="53" t="e">
        <f t="shared" ca="1" si="25"/>
        <v>#VALUE!</v>
      </c>
      <c r="Y39" s="54" t="s">
        <v>63</v>
      </c>
      <c r="Z39" t="e">
        <f t="shared" ca="1" si="39"/>
        <v>#VALUE!</v>
      </c>
      <c r="AA39" s="55" t="e">
        <f ca="1">IF($C39="S",IF($Z39="CP",$X39,IF($Z39="RA",(($X39)*[1]QCI!$AA$3),0)),SomaAgrup)</f>
        <v>#VALUE!</v>
      </c>
      <c r="AB39" s="56" t="e">
        <f t="shared" ca="1" si="26"/>
        <v>#VALUE!</v>
      </c>
      <c r="AC39" s="57" t="e">
        <f ca="1">IF($N39="","",IF(ORÇAMENTO.Descricao="","DESCRIÇÃO",IF(AND($C39="S",ORÇAMENTO.Unidade=""),"UNIDADE",IF($X39&lt;0,"VALOR NEGATIVO",IF(OR(AND(TIPOORCAMENTO="Proposto",$AG39&lt;&gt;"",$AG39&gt;0,ORÇAMENTO.CustoUnitario&gt;$AG39),AND(TIPOORCAMENTO="LICITADO",ORÇAMENTO.PrecoUnitarioLicitado&gt;$AN39)),"ACIMA REF.","")))))</f>
        <v>#VALUE!</v>
      </c>
      <c r="AD39" t="e">
        <f ca="1">IF(C39&lt;=CRONO.NivelExibicao,MAX($AD$15:OFFSET(AD39,-1,0))+IF($C39&lt;&gt;1,1,MAX(1,COUNTIF([1]QCI!$A$13:$A$24,OFFSET($E39,-1,0)))),"")</f>
        <v>#VALUE!</v>
      </c>
      <c r="AE39" s="4" t="b">
        <f ca="1">IF(AND($C39="S",ORÇAMENTO.CodBarra&lt;&gt;""),IF(ORÇAMENTO.Fonte="",ORÇAMENTO.CodBarra,CONCATENATE(ORÇAMENTO.Fonte," ",ORÇAMENTO.CodBarra)))</f>
        <v>0</v>
      </c>
      <c r="AF39" s="58" t="e">
        <f ca="1">IF(ISERROR(INDIRECT(ORÇAMENTO.BancoRef)),"(abra o arquivo 'Referência "&amp;Excel_BuiltIn_Database&amp;".xls)",IF(OR($C39&lt;&gt;"S",ORÇAMENTO.CodBarra=""),"(Sem Código)",IF(ISERROR(MATCH($AE39,INDIRECT(ORÇAMENTO.BancoRef),0)),"(Código não identificado nas referências)",MATCH($AE39,INDIRECT(ORÇAMENTO.BancoRef),0))))</f>
        <v>#VALUE!</v>
      </c>
      <c r="AG39" s="59" t="e">
        <f ca="1">ROUND(IF(DESONERACAO="sim",REFERENCIA.Desonerado,REFERENCIA.NaoDesonerado),2)</f>
        <v>#VALUE!</v>
      </c>
      <c r="AH39" s="60">
        <f t="shared" si="27"/>
        <v>0.2223</v>
      </c>
      <c r="AJ39" s="61"/>
      <c r="AL39" s="62"/>
      <c r="AM39" s="63" t="e">
        <f t="shared" ca="1" si="0"/>
        <v>#VALUE!</v>
      </c>
      <c r="AN39" s="64">
        <f t="shared" si="28"/>
        <v>0</v>
      </c>
    </row>
    <row r="40" spans="1:40" ht="38.25" x14ac:dyDescent="0.2">
      <c r="A40" t="str">
        <f t="shared" si="24"/>
        <v>S</v>
      </c>
      <c r="B40">
        <f t="shared" ca="1" si="29"/>
        <v>3</v>
      </c>
      <c r="C40" t="str">
        <f t="shared" ca="1" si="30"/>
        <v>S</v>
      </c>
      <c r="D40">
        <f t="shared" ca="1" si="31"/>
        <v>0</v>
      </c>
      <c r="E40" t="e">
        <f ca="1">IF($C40=1,OFFSET(E40,-1,0)+MAX(1,COUNTIF([1]QCI!$A$13:$A$24,OFFSET('PLANILHA A LICITAR'!E40,-1,0))),OFFSET(E40,-1,0))</f>
        <v>#VALUE!</v>
      </c>
      <c r="F40">
        <f t="shared" ca="1" si="32"/>
        <v>1</v>
      </c>
      <c r="G40">
        <f t="shared" ca="1" si="33"/>
        <v>6</v>
      </c>
      <c r="H40">
        <f t="shared" ca="1" si="34"/>
        <v>0</v>
      </c>
      <c r="I40" t="e">
        <f t="shared" ca="1" si="35"/>
        <v>#VALUE!</v>
      </c>
      <c r="J40">
        <f t="shared" ca="1" si="9"/>
        <v>0</v>
      </c>
      <c r="K40">
        <f ca="1">IF(OR($C40="S",$C40=0),0,MATCH(OFFSET($D40,0,$C40)+IF($C40&lt;&gt;1,1,COUNTIF([1]QCI!$A$13:$A$24,'PLANILHA A LICITAR'!E40)),OFFSET($D40,1,$C40,ROW($C$145)-ROW($C40)),0))</f>
        <v>0</v>
      </c>
      <c r="L40" s="42" t="e">
        <f t="shared" ca="1" si="36"/>
        <v>#VALUE!</v>
      </c>
      <c r="M40" s="43" t="s">
        <v>7</v>
      </c>
      <c r="N40" s="44" t="str">
        <f t="shared" ca="1" si="37"/>
        <v>Serviço</v>
      </c>
      <c r="O40" s="45" t="e">
        <f t="shared" ca="1" si="38"/>
        <v>#VALUE!</v>
      </c>
      <c r="P40" s="46" t="s">
        <v>62</v>
      </c>
      <c r="Q40" s="47">
        <v>91341</v>
      </c>
      <c r="R40" s="48" t="s">
        <v>111</v>
      </c>
      <c r="S40" s="49" t="s">
        <v>75</v>
      </c>
      <c r="T40" s="50" t="e">
        <f ca="1">OFFSET([1]CÁLCULO!H$15,ROW($T40)-ROW(T$15),0)</f>
        <v>#VALUE!</v>
      </c>
      <c r="U40" s="51" t="e">
        <f ca="1">AG40</f>
        <v>#VALUE!</v>
      </c>
      <c r="V40" s="52" t="s">
        <v>10</v>
      </c>
      <c r="W40" s="50" t="e">
        <f ca="1">IF($C40="S",ROUND(IF(TIPOORCAMENTO="Proposto",ORÇAMENTO.CustoUnitario*(1+$AH40),ORÇAMENTO.PrecoUnitarioLicitado),15-13*$AF$10),0)</f>
        <v>#VALUE!</v>
      </c>
      <c r="X40" s="53" t="e">
        <f t="shared" ca="1" si="25"/>
        <v>#VALUE!</v>
      </c>
      <c r="Y40" s="54" t="s">
        <v>63</v>
      </c>
      <c r="Z40" t="e">
        <f t="shared" ca="1" si="39"/>
        <v>#VALUE!</v>
      </c>
      <c r="AA40" s="55" t="e">
        <f ca="1">IF($C40="S",IF($Z40="CP",$X40,IF($Z40="RA",(($X40)*[1]QCI!$AA$3),0)),SomaAgrup)</f>
        <v>#VALUE!</v>
      </c>
      <c r="AB40" s="56" t="e">
        <f t="shared" ca="1" si="26"/>
        <v>#VALUE!</v>
      </c>
      <c r="AC40" s="57" t="e">
        <f ca="1">IF($N40="","",IF(ORÇAMENTO.Descricao="","DESCRIÇÃO",IF(AND($C40="S",ORÇAMENTO.Unidade=""),"UNIDADE",IF($X40&lt;0,"VALOR NEGATIVO",IF(OR(AND(TIPOORCAMENTO="Proposto",$AG40&lt;&gt;"",$AG40&gt;0,ORÇAMENTO.CustoUnitario&gt;$AG40),AND(TIPOORCAMENTO="LICITADO",ORÇAMENTO.PrecoUnitarioLicitado&gt;$AN40)),"ACIMA REF.","")))))</f>
        <v>#VALUE!</v>
      </c>
      <c r="AD40" t="str">
        <f ca="1">IF(C40&lt;=CRONO.NivelExibicao,MAX($AD$15:OFFSET(AD40,-1,0))+IF($C40&lt;&gt;1,1,MAX(1,COUNTIF([1]QCI!$A$13:$A$24,OFFSET($E40,-1,0)))),"")</f>
        <v/>
      </c>
      <c r="AE40" s="4" t="str">
        <f ca="1">IF(AND($C40="S",ORÇAMENTO.CodBarra&lt;&gt;""),IF(ORÇAMENTO.Fonte="",ORÇAMENTO.CodBarra,CONCATENATE(ORÇAMENTO.Fonte," ",ORÇAMENTO.CodBarra)))</f>
        <v>SINAPI 91341</v>
      </c>
      <c r="AF40" s="58" t="e">
        <f ca="1">IF(ISERROR(INDIRECT(ORÇAMENTO.BancoRef)),"(abra o arquivo 'Referência "&amp;Excel_BuiltIn_Database&amp;".xls)",IF(OR($C40&lt;&gt;"S",ORÇAMENTO.CodBarra=""),"(Sem Código)",IF(ISERROR(MATCH($AE40,INDIRECT(ORÇAMENTO.BancoRef),0)),"(Código não identificado nas referências)",MATCH($AE40,INDIRECT(ORÇAMENTO.BancoRef),0))))</f>
        <v>#VALUE!</v>
      </c>
      <c r="AG40" s="59" t="e">
        <f ca="1">ROUND(IF(DESONERACAO="sim",REFERENCIA.Desonerado,REFERENCIA.NaoDesonerado),2)</f>
        <v>#VALUE!</v>
      </c>
      <c r="AH40" s="60">
        <f t="shared" si="27"/>
        <v>0.2223</v>
      </c>
      <c r="AJ40" s="61">
        <v>1.89</v>
      </c>
      <c r="AL40" s="62"/>
      <c r="AM40" s="63" t="e">
        <f t="shared" ca="1" si="0"/>
        <v>#VALUE!</v>
      </c>
      <c r="AN40" s="64" t="e">
        <f t="shared" ca="1" si="28"/>
        <v>#VALUE!</v>
      </c>
    </row>
    <row r="41" spans="1:40" x14ac:dyDescent="0.2">
      <c r="A41">
        <f t="shared" si="24"/>
        <v>3</v>
      </c>
      <c r="B41">
        <f t="shared" ca="1" si="29"/>
        <v>3</v>
      </c>
      <c r="C41">
        <f t="shared" ca="1" si="30"/>
        <v>3</v>
      </c>
      <c r="D41">
        <f t="shared" ca="1" si="31"/>
        <v>4</v>
      </c>
      <c r="E41" t="e">
        <f ca="1">IF($C41=1,OFFSET(E41,-1,0)+MAX(1,COUNTIF([1]QCI!$A$13:$A$24,OFFSET('PLANILHA A LICITAR'!E41,-1,0))),OFFSET(E41,-1,0))</f>
        <v>#VALUE!</v>
      </c>
      <c r="F41">
        <f t="shared" ca="1" si="32"/>
        <v>1</v>
      </c>
      <c r="G41">
        <f t="shared" ca="1" si="33"/>
        <v>7</v>
      </c>
      <c r="H41">
        <f t="shared" ca="1" si="34"/>
        <v>0</v>
      </c>
      <c r="I41">
        <f t="shared" ca="1" si="35"/>
        <v>0</v>
      </c>
      <c r="J41">
        <f t="shared" ca="1" si="9"/>
        <v>4</v>
      </c>
      <c r="K41">
        <f ca="1">IF(OR($C41="S",$C41=0),0,MATCH(OFFSET($D41,0,$C41)+IF($C41&lt;&gt;1,1,COUNTIF([1]QCI!$A$13:$A$24,'PLANILHA A LICITAR'!E41)),OFFSET($D41,1,$C41,ROW($C$145)-ROW($C41)),0))</f>
        <v>73</v>
      </c>
      <c r="L41" s="42" t="e">
        <f t="shared" ca="1" si="36"/>
        <v>#VALUE!</v>
      </c>
      <c r="M41" s="43" t="s">
        <v>5</v>
      </c>
      <c r="N41" s="44" t="str">
        <f t="shared" ca="1" si="37"/>
        <v>Nível 3</v>
      </c>
      <c r="O41" s="45" t="e">
        <f t="shared" ca="1" si="38"/>
        <v>#VALUE!</v>
      </c>
      <c r="P41" s="46" t="s">
        <v>62</v>
      </c>
      <c r="Q41" s="47"/>
      <c r="R41" s="48" t="s">
        <v>112</v>
      </c>
      <c r="S41" s="49" t="s">
        <v>67</v>
      </c>
      <c r="T41" s="50" t="e">
        <f ca="1">OFFSET([1]CÁLCULO!H$15,ROW($T41)-ROW(T$15),0)</f>
        <v>#VALUE!</v>
      </c>
      <c r="U41" s="51"/>
      <c r="V41" s="52" t="s">
        <v>10</v>
      </c>
      <c r="W41" s="50">
        <f ca="1">IF($C41="S",ROUND(IF(TIPOORCAMENTO="Proposto",ORÇAMENTO.CustoUnitario*(1+$AH41),ORÇAMENTO.PrecoUnitarioLicitado),15-13*$AF$10),0)</f>
        <v>0</v>
      </c>
      <c r="X41" s="53" t="e">
        <f t="shared" ca="1" si="25"/>
        <v>#VALUE!</v>
      </c>
      <c r="Y41" s="54" t="s">
        <v>63</v>
      </c>
      <c r="Z41" t="e">
        <f t="shared" ca="1" si="39"/>
        <v>#VALUE!</v>
      </c>
      <c r="AA41" s="55" t="e">
        <f ca="1">IF($C41="S",IF($Z41="CP",$X41,IF($Z41="RA",(($X41)*[1]QCI!$AA$3),0)),SomaAgrup)</f>
        <v>#VALUE!</v>
      </c>
      <c r="AB41" s="56" t="e">
        <f t="shared" ca="1" si="26"/>
        <v>#VALUE!</v>
      </c>
      <c r="AC41" s="57" t="e">
        <f ca="1">IF($N41="","",IF(ORÇAMENTO.Descricao="","DESCRIÇÃO",IF(AND($C41="S",ORÇAMENTO.Unidade=""),"UNIDADE",IF($X41&lt;0,"VALOR NEGATIVO",IF(OR(AND(TIPOORCAMENTO="Proposto",$AG41&lt;&gt;"",$AG41&gt;0,ORÇAMENTO.CustoUnitario&gt;$AG41),AND(TIPOORCAMENTO="LICITADO",ORÇAMENTO.PrecoUnitarioLicitado&gt;$AN41)),"ACIMA REF.","")))))</f>
        <v>#VALUE!</v>
      </c>
      <c r="AD41" t="e">
        <f ca="1">IF(C41&lt;=CRONO.NivelExibicao,MAX($AD$15:OFFSET(AD41,-1,0))+IF($C41&lt;&gt;1,1,MAX(1,COUNTIF([1]QCI!$A$13:$A$24,OFFSET($E41,-1,0)))),"")</f>
        <v>#VALUE!</v>
      </c>
      <c r="AE41" s="4" t="b">
        <f ca="1">IF(AND($C41="S",ORÇAMENTO.CodBarra&lt;&gt;""),IF(ORÇAMENTO.Fonte="",ORÇAMENTO.CodBarra,CONCATENATE(ORÇAMENTO.Fonte," ",ORÇAMENTO.CodBarra)))</f>
        <v>0</v>
      </c>
      <c r="AF41" s="58" t="e">
        <f ca="1">IF(ISERROR(INDIRECT(ORÇAMENTO.BancoRef)),"(abra o arquivo 'Referência "&amp;Excel_BuiltIn_Database&amp;".xls)",IF(OR($C41&lt;&gt;"S",ORÇAMENTO.CodBarra=""),"(Sem Código)",IF(ISERROR(MATCH($AE41,INDIRECT(ORÇAMENTO.BancoRef),0)),"(Código não identificado nas referências)",MATCH($AE41,INDIRECT(ORÇAMENTO.BancoRef),0))))</f>
        <v>#VALUE!</v>
      </c>
      <c r="AG41" s="59" t="e">
        <f ca="1">ROUND(IF(DESONERACAO="sim",REFERENCIA.Desonerado,REFERENCIA.NaoDesonerado),2)</f>
        <v>#VALUE!</v>
      </c>
      <c r="AH41" s="60">
        <f t="shared" si="27"/>
        <v>0.2223</v>
      </c>
      <c r="AJ41" s="61"/>
      <c r="AL41" s="62"/>
      <c r="AM41" s="63" t="e">
        <f t="shared" ca="1" si="0"/>
        <v>#VALUE!</v>
      </c>
      <c r="AN41" s="64">
        <f t="shared" si="28"/>
        <v>0</v>
      </c>
    </row>
    <row r="42" spans="1:40" ht="25.5" x14ac:dyDescent="0.2">
      <c r="A42" t="str">
        <f t="shared" si="24"/>
        <v>S</v>
      </c>
      <c r="B42">
        <f t="shared" ca="1" si="29"/>
        <v>3</v>
      </c>
      <c r="C42" t="str">
        <f t="shared" ca="1" si="30"/>
        <v>S</v>
      </c>
      <c r="D42">
        <f t="shared" ca="1" si="31"/>
        <v>0</v>
      </c>
      <c r="E42" t="e">
        <f ca="1">IF($C42=1,OFFSET(E42,-1,0)+MAX(1,COUNTIF([1]QCI!$A$13:$A$24,OFFSET('PLANILHA A LICITAR'!E42,-1,0))),OFFSET(E42,-1,0))</f>
        <v>#VALUE!</v>
      </c>
      <c r="F42">
        <f t="shared" ca="1" si="32"/>
        <v>1</v>
      </c>
      <c r="G42">
        <f t="shared" ca="1" si="33"/>
        <v>7</v>
      </c>
      <c r="H42">
        <f t="shared" ca="1" si="34"/>
        <v>0</v>
      </c>
      <c r="I42" t="e">
        <f t="shared" ca="1" si="35"/>
        <v>#VALUE!</v>
      </c>
      <c r="J42">
        <f t="shared" ca="1" si="9"/>
        <v>0</v>
      </c>
      <c r="K42">
        <f ca="1">IF(OR($C42="S",$C42=0),0,MATCH(OFFSET($D42,0,$C42)+IF($C42&lt;&gt;1,1,COUNTIF([1]QCI!$A$13:$A$24,'PLANILHA A LICITAR'!E42)),OFFSET($D42,1,$C42,ROW($C$145)-ROW($C42)),0))</f>
        <v>0</v>
      </c>
      <c r="L42" s="42" t="e">
        <f t="shared" ca="1" si="36"/>
        <v>#VALUE!</v>
      </c>
      <c r="M42" s="43" t="s">
        <v>7</v>
      </c>
      <c r="N42" s="44" t="str">
        <f t="shared" ca="1" si="37"/>
        <v>Serviço</v>
      </c>
      <c r="O42" s="45" t="e">
        <f t="shared" ca="1" si="38"/>
        <v>#VALUE!</v>
      </c>
      <c r="P42" s="46" t="s">
        <v>62</v>
      </c>
      <c r="Q42" s="47" t="s">
        <v>113</v>
      </c>
      <c r="R42" s="48" t="s">
        <v>114</v>
      </c>
      <c r="S42" s="49" t="s">
        <v>75</v>
      </c>
      <c r="T42" s="50" t="e">
        <f ca="1">OFFSET([1]CÁLCULO!H$15,ROW($T42)-ROW(T$15),0)</f>
        <v>#VALUE!</v>
      </c>
      <c r="U42" s="51" t="e">
        <f ca="1">AG42</f>
        <v>#VALUE!</v>
      </c>
      <c r="V42" s="52" t="s">
        <v>10</v>
      </c>
      <c r="W42" s="50" t="e">
        <f ca="1">IF($C42="S",ROUND(IF(TIPOORCAMENTO="Proposto",ORÇAMENTO.CustoUnitario*(1+$AH42),ORÇAMENTO.PrecoUnitarioLicitado),15-13*$AF$10),0)</f>
        <v>#VALUE!</v>
      </c>
      <c r="X42" s="53" t="e">
        <f t="shared" ca="1" si="25"/>
        <v>#VALUE!</v>
      </c>
      <c r="Y42" s="54" t="s">
        <v>63</v>
      </c>
      <c r="Z42" t="e">
        <f t="shared" ca="1" si="39"/>
        <v>#VALUE!</v>
      </c>
      <c r="AA42" s="55" t="e">
        <f ca="1">IF($C42="S",IF($Z42="CP",$X42,IF($Z42="RA",(($X42)*[1]QCI!$AA$3),0)),SomaAgrup)</f>
        <v>#VALUE!</v>
      </c>
      <c r="AB42" s="56" t="e">
        <f t="shared" ca="1" si="26"/>
        <v>#VALUE!</v>
      </c>
      <c r="AC42" s="57" t="e">
        <f ca="1">IF($N42="","",IF(ORÇAMENTO.Descricao="","DESCRIÇÃO",IF(AND($C42="S",ORÇAMENTO.Unidade=""),"UNIDADE",IF($X42&lt;0,"VALOR NEGATIVO",IF(OR(AND(TIPOORCAMENTO="Proposto",$AG42&lt;&gt;"",$AG42&gt;0,ORÇAMENTO.CustoUnitario&gt;$AG42),AND(TIPOORCAMENTO="LICITADO",ORÇAMENTO.PrecoUnitarioLicitado&gt;$AN42)),"ACIMA REF.","")))))</f>
        <v>#VALUE!</v>
      </c>
      <c r="AD42" t="str">
        <f ca="1">IF(C42&lt;=CRONO.NivelExibicao,MAX($AD$15:OFFSET(AD42,-1,0))+IF($C42&lt;&gt;1,1,MAX(1,COUNTIF([1]QCI!$A$13:$A$24,OFFSET($E42,-1,0)))),"")</f>
        <v/>
      </c>
      <c r="AE42" s="4" t="str">
        <f ca="1">IF(AND($C42="S",ORÇAMENTO.CodBarra&lt;&gt;""),IF(ORÇAMENTO.Fonte="",ORÇAMENTO.CodBarra,CONCATENATE(ORÇAMENTO.Fonte," ",ORÇAMENTO.CodBarra)))</f>
        <v>SINAPI 88489</v>
      </c>
      <c r="AF42" s="58" t="e">
        <f ca="1">IF(ISERROR(INDIRECT(ORÇAMENTO.BancoRef)),"(abra o arquivo 'Referência "&amp;Excel_BuiltIn_Database&amp;".xls)",IF(OR($C42&lt;&gt;"S",ORÇAMENTO.CodBarra=""),"(Sem Código)",IF(ISERROR(MATCH($AE42,INDIRECT(ORÇAMENTO.BancoRef),0)),"(Código não identificado nas referências)",MATCH($AE42,INDIRECT(ORÇAMENTO.BancoRef),0))))</f>
        <v>#VALUE!</v>
      </c>
      <c r="AG42" s="59" t="e">
        <f ca="1">ROUND(IF(DESONERACAO="sim",REFERENCIA.Desonerado,REFERENCIA.NaoDesonerado),2)</f>
        <v>#VALUE!</v>
      </c>
      <c r="AH42" s="60">
        <f t="shared" si="27"/>
        <v>0.2223</v>
      </c>
      <c r="AJ42" s="61">
        <v>822.34</v>
      </c>
      <c r="AL42" s="62"/>
      <c r="AM42" s="63" t="e">
        <f t="shared" ca="1" si="0"/>
        <v>#VALUE!</v>
      </c>
      <c r="AN42" s="64" t="e">
        <f t="shared" ca="1" si="28"/>
        <v>#VALUE!</v>
      </c>
    </row>
    <row r="43" spans="1:40" ht="25.5" x14ac:dyDescent="0.2">
      <c r="A43" t="str">
        <f t="shared" si="24"/>
        <v>S</v>
      </c>
      <c r="B43">
        <f t="shared" ca="1" si="29"/>
        <v>3</v>
      </c>
      <c r="C43" t="str">
        <f t="shared" ca="1" si="30"/>
        <v>S</v>
      </c>
      <c r="D43">
        <f t="shared" ca="1" si="31"/>
        <v>0</v>
      </c>
      <c r="E43" t="e">
        <f ca="1">IF($C43=1,OFFSET(E43,-1,0)+MAX(1,COUNTIF([1]QCI!$A$13:$A$24,OFFSET('PLANILHA A LICITAR'!E43,-1,0))),OFFSET(E43,-1,0))</f>
        <v>#VALUE!</v>
      </c>
      <c r="F43">
        <f t="shared" ca="1" si="32"/>
        <v>1</v>
      </c>
      <c r="G43">
        <f t="shared" ca="1" si="33"/>
        <v>7</v>
      </c>
      <c r="H43">
        <f t="shared" ca="1" si="34"/>
        <v>0</v>
      </c>
      <c r="I43" t="e">
        <f t="shared" ca="1" si="35"/>
        <v>#VALUE!</v>
      </c>
      <c r="J43">
        <f t="shared" ca="1" si="9"/>
        <v>0</v>
      </c>
      <c r="K43">
        <f ca="1">IF(OR($C43="S",$C43=0),0,MATCH(OFFSET($D43,0,$C43)+IF($C43&lt;&gt;1,1,COUNTIF([1]QCI!$A$13:$A$24,'PLANILHA A LICITAR'!E43)),OFFSET($D43,1,$C43,ROW($C$145)-ROW($C43)),0))</f>
        <v>0</v>
      </c>
      <c r="L43" s="42" t="e">
        <f t="shared" ca="1" si="36"/>
        <v>#VALUE!</v>
      </c>
      <c r="M43" s="43" t="s">
        <v>7</v>
      </c>
      <c r="N43" s="44" t="str">
        <f t="shared" ca="1" si="37"/>
        <v>Serviço</v>
      </c>
      <c r="O43" s="45" t="e">
        <f t="shared" ca="1" si="38"/>
        <v>#VALUE!</v>
      </c>
      <c r="P43" s="46" t="s">
        <v>62</v>
      </c>
      <c r="Q43" s="47" t="s">
        <v>115</v>
      </c>
      <c r="R43" s="48" t="s">
        <v>116</v>
      </c>
      <c r="S43" s="49" t="s">
        <v>75</v>
      </c>
      <c r="T43" s="50" t="e">
        <f ca="1">OFFSET([1]CÁLCULO!H$15,ROW($T43)-ROW(T$15),0)</f>
        <v>#VALUE!</v>
      </c>
      <c r="U43" s="51" t="e">
        <f t="shared" ref="U43:U44" ca="1" si="40">AG43</f>
        <v>#VALUE!</v>
      </c>
      <c r="V43" s="52" t="s">
        <v>10</v>
      </c>
      <c r="W43" s="50" t="e">
        <f ca="1">IF($C43="S",ROUND(IF(TIPOORCAMENTO="Proposto",ORÇAMENTO.CustoUnitario*(1+$AH43),ORÇAMENTO.PrecoUnitarioLicitado),15-13*$AF$10),0)</f>
        <v>#VALUE!</v>
      </c>
      <c r="X43" s="53" t="e">
        <f t="shared" ca="1" si="25"/>
        <v>#VALUE!</v>
      </c>
      <c r="Y43" s="54" t="s">
        <v>63</v>
      </c>
      <c r="Z43" t="e">
        <f t="shared" ca="1" si="39"/>
        <v>#VALUE!</v>
      </c>
      <c r="AA43" s="55" t="e">
        <f ca="1">IF($C43="S",IF($Z43="CP",$X43,IF($Z43="RA",(($X43)*[1]QCI!$AA$3),0)),SomaAgrup)</f>
        <v>#VALUE!</v>
      </c>
      <c r="AB43" s="56" t="e">
        <f t="shared" ca="1" si="26"/>
        <v>#VALUE!</v>
      </c>
      <c r="AC43" s="57" t="e">
        <f ca="1">IF($N43="","",IF(ORÇAMENTO.Descricao="","DESCRIÇÃO",IF(AND($C43="S",ORÇAMENTO.Unidade=""),"UNIDADE",IF($X43&lt;0,"VALOR NEGATIVO",IF(OR(AND(TIPOORCAMENTO="Proposto",$AG43&lt;&gt;"",$AG43&gt;0,ORÇAMENTO.CustoUnitario&gt;$AG43),AND(TIPOORCAMENTO="LICITADO",ORÇAMENTO.PrecoUnitarioLicitado&gt;$AN43)),"ACIMA REF.","")))))</f>
        <v>#VALUE!</v>
      </c>
      <c r="AD43" t="str">
        <f ca="1">IF(C43&lt;=CRONO.NivelExibicao,MAX($AD$15:OFFSET(AD43,-1,0))+IF($C43&lt;&gt;1,1,MAX(1,COUNTIF([1]QCI!$A$13:$A$24,OFFSET($E43,-1,0)))),"")</f>
        <v/>
      </c>
      <c r="AE43" s="4" t="str">
        <f ca="1">IF(AND($C43="S",ORÇAMENTO.CodBarra&lt;&gt;""),IF(ORÇAMENTO.Fonte="",ORÇAMENTO.CodBarra,CONCATENATE(ORÇAMENTO.Fonte," ",ORÇAMENTO.CodBarra)))</f>
        <v>SINAPI 102491</v>
      </c>
      <c r="AF43" s="58" t="e">
        <f ca="1">IF(ISERROR(INDIRECT(ORÇAMENTO.BancoRef)),"(abra o arquivo 'Referência "&amp;Excel_BuiltIn_Database&amp;".xls)",IF(OR($C43&lt;&gt;"S",ORÇAMENTO.CodBarra=""),"(Sem Código)",IF(ISERROR(MATCH($AE43,INDIRECT(ORÇAMENTO.BancoRef),0)),"(Código não identificado nas referências)",MATCH($AE43,INDIRECT(ORÇAMENTO.BancoRef),0))))</f>
        <v>#VALUE!</v>
      </c>
      <c r="AG43" s="59" t="e">
        <f ca="1">ROUND(IF(DESONERACAO="sim",REFERENCIA.Desonerado,REFERENCIA.NaoDesonerado),2)</f>
        <v>#VALUE!</v>
      </c>
      <c r="AH43" s="60">
        <f t="shared" si="27"/>
        <v>0.2223</v>
      </c>
      <c r="AJ43" s="61">
        <v>281.63</v>
      </c>
      <c r="AL43" s="62"/>
      <c r="AM43" s="63" t="e">
        <f t="shared" ca="1" si="0"/>
        <v>#VALUE!</v>
      </c>
      <c r="AN43" s="64" t="e">
        <f t="shared" ca="1" si="28"/>
        <v>#VALUE!</v>
      </c>
    </row>
    <row r="44" spans="1:40" ht="38.25" x14ac:dyDescent="0.2">
      <c r="A44" t="str">
        <f t="shared" si="24"/>
        <v>S</v>
      </c>
      <c r="B44">
        <f t="shared" ca="1" si="29"/>
        <v>3</v>
      </c>
      <c r="C44" t="str">
        <f t="shared" ca="1" si="30"/>
        <v>S</v>
      </c>
      <c r="D44">
        <f t="shared" ca="1" si="31"/>
        <v>0</v>
      </c>
      <c r="E44" t="e">
        <f ca="1">IF($C44=1,OFFSET(E44,-1,0)+MAX(1,COUNTIF([1]QCI!$A$13:$A$24,OFFSET('PLANILHA A LICITAR'!E44,-1,0))),OFFSET(E44,-1,0))</f>
        <v>#VALUE!</v>
      </c>
      <c r="F44">
        <f t="shared" ca="1" si="32"/>
        <v>1</v>
      </c>
      <c r="G44">
        <f t="shared" ca="1" si="33"/>
        <v>7</v>
      </c>
      <c r="H44">
        <f t="shared" ca="1" si="34"/>
        <v>0</v>
      </c>
      <c r="I44" t="e">
        <f t="shared" ca="1" si="35"/>
        <v>#VALUE!</v>
      </c>
      <c r="J44">
        <f t="shared" ca="1" si="9"/>
        <v>0</v>
      </c>
      <c r="K44">
        <f ca="1">IF(OR($C44="S",$C44=0),0,MATCH(OFFSET($D44,0,$C44)+IF($C44&lt;&gt;1,1,COUNTIF([1]QCI!$A$13:$A$24,'PLANILHA A LICITAR'!E44)),OFFSET($D44,1,$C44,ROW($C$145)-ROW($C44)),0))</f>
        <v>0</v>
      </c>
      <c r="L44" s="42" t="e">
        <f t="shared" ca="1" si="36"/>
        <v>#VALUE!</v>
      </c>
      <c r="M44" s="43" t="s">
        <v>7</v>
      </c>
      <c r="N44" s="44" t="str">
        <f t="shared" ca="1" si="37"/>
        <v>Serviço</v>
      </c>
      <c r="O44" s="45" t="e">
        <f t="shared" ca="1" si="38"/>
        <v>#VALUE!</v>
      </c>
      <c r="P44" s="46" t="s">
        <v>62</v>
      </c>
      <c r="Q44" s="47" t="s">
        <v>117</v>
      </c>
      <c r="R44" s="48" t="s">
        <v>118</v>
      </c>
      <c r="S44" s="49" t="s">
        <v>75</v>
      </c>
      <c r="T44" s="50" t="e">
        <f ca="1">OFFSET([1]CÁLCULO!H$15,ROW($T44)-ROW(T$15),0)</f>
        <v>#VALUE!</v>
      </c>
      <c r="U44" s="51" t="e">
        <f t="shared" ca="1" si="40"/>
        <v>#VALUE!</v>
      </c>
      <c r="V44" s="52" t="s">
        <v>10</v>
      </c>
      <c r="W44" s="50" t="e">
        <f ca="1">IF($C44="S",ROUND(IF(TIPOORCAMENTO="Proposto",ORÇAMENTO.CustoUnitario*(1+$AH44),ORÇAMENTO.PrecoUnitarioLicitado),15-13*$AF$10),0)</f>
        <v>#VALUE!</v>
      </c>
      <c r="X44" s="53" t="e">
        <f t="shared" ca="1" si="25"/>
        <v>#VALUE!</v>
      </c>
      <c r="Y44" s="54" t="s">
        <v>63</v>
      </c>
      <c r="Z44" t="e">
        <f t="shared" ca="1" si="39"/>
        <v>#VALUE!</v>
      </c>
      <c r="AA44" s="55" t="e">
        <f ca="1">IF($C44="S",IF($Z44="CP",$X44,IF($Z44="RA",(($X44)*[1]QCI!$AA$3),0)),SomaAgrup)</f>
        <v>#VALUE!</v>
      </c>
      <c r="AB44" s="56" t="e">
        <f t="shared" ca="1" si="26"/>
        <v>#VALUE!</v>
      </c>
      <c r="AC44" s="57" t="e">
        <f ca="1">IF($N44="","",IF(ORÇAMENTO.Descricao="","DESCRIÇÃO",IF(AND($C44="S",ORÇAMENTO.Unidade=""),"UNIDADE",IF($X44&lt;0,"VALOR NEGATIVO",IF(OR(AND(TIPOORCAMENTO="Proposto",$AG44&lt;&gt;"",$AG44&gt;0,ORÇAMENTO.CustoUnitario&gt;$AG44),AND(TIPOORCAMENTO="LICITADO",ORÇAMENTO.PrecoUnitarioLicitado&gt;$AN44)),"ACIMA REF.","")))))</f>
        <v>#VALUE!</v>
      </c>
      <c r="AD44" t="str">
        <f ca="1">IF(C44&lt;=CRONO.NivelExibicao,MAX($AD$15:OFFSET(AD44,-1,0))+IF($C44&lt;&gt;1,1,MAX(1,COUNTIF([1]QCI!$A$13:$A$24,OFFSET($E44,-1,0)))),"")</f>
        <v/>
      </c>
      <c r="AE44" s="4" t="str">
        <f ca="1">IF(AND($C44="S",ORÇAMENTO.CodBarra&lt;&gt;""),IF(ORÇAMENTO.Fonte="",ORÇAMENTO.CodBarra,CONCATENATE(ORÇAMENTO.Fonte," ",ORÇAMENTO.CodBarra)))</f>
        <v>SINAPI 100733</v>
      </c>
      <c r="AF44" s="58" t="e">
        <f ca="1">IF(ISERROR(INDIRECT(ORÇAMENTO.BancoRef)),"(abra o arquivo 'Referência "&amp;Excel_BuiltIn_Database&amp;".xls)",IF(OR($C44&lt;&gt;"S",ORÇAMENTO.CodBarra=""),"(Sem Código)",IF(ISERROR(MATCH($AE44,INDIRECT(ORÇAMENTO.BancoRef),0)),"(Código não identificado nas referências)",MATCH($AE44,INDIRECT(ORÇAMENTO.BancoRef),0))))</f>
        <v>#VALUE!</v>
      </c>
      <c r="AG44" s="59" t="e">
        <f ca="1">ROUND(IF(DESONERACAO="sim",REFERENCIA.Desonerado,REFERENCIA.NaoDesonerado),2)</f>
        <v>#VALUE!</v>
      </c>
      <c r="AH44" s="60">
        <f t="shared" si="27"/>
        <v>0.2223</v>
      </c>
      <c r="AJ44" s="61">
        <v>245.25</v>
      </c>
      <c r="AL44" s="62"/>
      <c r="AM44" s="63" t="e">
        <f t="shared" ca="1" si="0"/>
        <v>#VALUE!</v>
      </c>
      <c r="AN44" s="64" t="e">
        <f t="shared" ca="1" si="28"/>
        <v>#VALUE!</v>
      </c>
    </row>
    <row r="45" spans="1:40" x14ac:dyDescent="0.2">
      <c r="A45">
        <f t="shared" ref="A45:A137" si="41">CHOOSE(1+LOG(1+2*(ORÇAMENTO.Nivel="Meta")+4*(ORÇAMENTO.Nivel="Nível 2")+8*(ORÇAMENTO.Nivel="Nível 3")+16*(ORÇAMENTO.Nivel="Nível 4")+32*(ORÇAMENTO.Nivel="Serviço"),2),0,1,2,3,4,"S")</f>
        <v>2</v>
      </c>
      <c r="B45">
        <f ca="1">IF(OR(C45="s",C45=0),OFFSET(B45,-1,0),C45)</f>
        <v>2</v>
      </c>
      <c r="C45">
        <f ca="1">IF(OFFSET(C45,-1,0)="L",1,IF(OFFSET(C45,-1,0)=1,2,IF(OR(A45="s",A45=0),"S",IF(AND(OFFSET(C45,-1,0)=2,A45=4),3,IF(AND(OR(OFFSET(C45,-1,0)="s",OFFSET(C45,-1,0)=0),A45&lt;&gt;"s",A45&gt;OFFSET(B45,-1,0)),OFFSET(B45,-1,0),A45)))))</f>
        <v>2</v>
      </c>
      <c r="D45">
        <f ca="1">IF(OR(C45="S",C45=0),0,IF(ISERROR(K45),J45,SMALL(J45:K45,1)))</f>
        <v>100</v>
      </c>
      <c r="E45" t="e">
        <f ca="1">IF($C45=1,OFFSET(E45,-1,0)+MAX(1,COUNTIF([1]QCI!$A$13:$A$24,OFFSET('PLANILHA A LICITAR'!E45,-1,0))),OFFSET(E45,-1,0))</f>
        <v>#VALUE!</v>
      </c>
      <c r="F45">
        <f ca="1">IF($C45=1,0,IF($C45=2,OFFSET(F45,-1,0)+1,OFFSET(F45,-1,0)))</f>
        <v>2</v>
      </c>
      <c r="G45">
        <f ca="1">IF(AND($C45&lt;=2,$C45&lt;&gt;0),0,IF($C45=3,OFFSET(G45,-1,0)+1,OFFSET(G45,-1,0)))</f>
        <v>0</v>
      </c>
      <c r="H45">
        <f ca="1">IF(AND($C45&lt;=3,$C45&lt;&gt;0),0,IF($C45=4,OFFSET(H45,-1,0)+1,OFFSET(H45,-1,0)))</f>
        <v>0</v>
      </c>
      <c r="I45">
        <f ca="1">IF(AND($C45&lt;=4,$C45&lt;&gt;0),0,IF(AND($C45="S",$X45&gt;0),OFFSET(I45,-1,0)+1,OFFSET(I45,-1,0)))</f>
        <v>0</v>
      </c>
      <c r="J45">
        <f t="shared" ca="1" si="9"/>
        <v>100</v>
      </c>
      <c r="K45" t="e">
        <f ca="1">IF(OR($C45="S",$C45=0),0,MATCH(OFFSET($D45,0,$C45)+IF($C45&lt;&gt;1,1,COUNTIF([1]QCI!$A$13:$A$24,'PLANILHA A LICITAR'!E45)),OFFSET($D45,1,$C45,ROW($C$145)-ROW($C45)),0))</f>
        <v>#N/A</v>
      </c>
      <c r="L45" s="42" t="e">
        <f ca="1">IF(OR($X45&gt;0,$C45=1,$C45=2,$C45=3,$C45=4),"F","")</f>
        <v>#VALUE!</v>
      </c>
      <c r="M45" s="43" t="s">
        <v>4</v>
      </c>
      <c r="N45" s="44" t="str">
        <f ca="1">CHOOSE(1+LOG(1+2*(C45=1)+4*(C45=2)+8*(C45=3)+16*(C45=4)+32*(C45="S"),2),"","Meta","Nível 2","Nível 3","Nível 4","Serviço")</f>
        <v>Nível 2</v>
      </c>
      <c r="O45" s="45" t="e">
        <f ca="1">IF(OR($C45=0,$L45=""),"-",CONCATENATE(E45&amp;".",IF(AND($A$5&gt;=2,$C45&gt;=2),F45&amp;".",""),IF(AND($A$5&gt;=3,$C45&gt;=3),G45&amp;".",""),IF(AND($A$5&gt;=4,$C45&gt;=4),H45&amp;".",""),IF($C45="S",I45&amp;".","")))</f>
        <v>#VALUE!</v>
      </c>
      <c r="P45" s="46" t="s">
        <v>62</v>
      </c>
      <c r="Q45" s="47"/>
      <c r="R45" s="48" t="s">
        <v>119</v>
      </c>
      <c r="S45" s="49" t="s">
        <v>67</v>
      </c>
      <c r="T45" s="50" t="e">
        <f ca="1">OFFSET([1]CÁLCULO!H$15,ROW($T45)-ROW(T$15),0)</f>
        <v>#VALUE!</v>
      </c>
      <c r="U45" s="51"/>
      <c r="V45" s="52" t="s">
        <v>10</v>
      </c>
      <c r="W45" s="50">
        <f ca="1">IF($C45="S",ROUND(IF(TIPOORCAMENTO="Proposto",ORÇAMENTO.CustoUnitario*(1+$AH45),ORÇAMENTO.PrecoUnitarioLicitado),15-13*$AF$10),0)</f>
        <v>0</v>
      </c>
      <c r="X45" s="53" t="e">
        <f t="shared" ref="X45:X137" ca="1" si="42">IF($C45="S",VTOTAL1,IF($C45=0,0,ROUND(SomaAgrup,15-13*$AF$11)))</f>
        <v>#VALUE!</v>
      </c>
      <c r="Y45" s="54" t="s">
        <v>63</v>
      </c>
      <c r="Z45" t="e">
        <f ca="1">IF(AND($C45="S",$X45&gt;0),IF(ISBLANK($Y45),"RA",LEFT($Y45,2)),"")</f>
        <v>#VALUE!</v>
      </c>
      <c r="AA45" s="55" t="e">
        <f ca="1">IF($C45="S",IF($Z45="CP",$X45,IF($Z45="RA",(($X45)*[1]QCI!$AA$3),0)),SomaAgrup)</f>
        <v>#VALUE!</v>
      </c>
      <c r="AB45" s="56" t="e">
        <f t="shared" ref="AB45:AB137" ca="1" si="43">IF($C45="S",IF($Z45="OU",ROUND($X45,2),0),SomaAgrup)</f>
        <v>#VALUE!</v>
      </c>
      <c r="AC45" s="57" t="e">
        <f ca="1">IF($N45="","",IF(ORÇAMENTO.Descricao="","DESCRIÇÃO",IF(AND($C45="S",ORÇAMENTO.Unidade=""),"UNIDADE",IF($X45&lt;0,"VALOR NEGATIVO",IF(OR(AND(TIPOORCAMENTO="Proposto",$AG45&lt;&gt;"",$AG45&gt;0,ORÇAMENTO.CustoUnitario&gt;$AG45),AND(TIPOORCAMENTO="LICITADO",ORÇAMENTO.PrecoUnitarioLicitado&gt;$AN45)),"ACIMA REF.","")))))</f>
        <v>#VALUE!</v>
      </c>
      <c r="AD45" t="e">
        <f ca="1">IF(C45&lt;=CRONO.NivelExibicao,MAX($AD$15:OFFSET(AD45,-1,0))+IF($C45&lt;&gt;1,1,MAX(1,COUNTIF([1]QCI!$A$13:$A$24,OFFSET($E45,-1,0)))),"")</f>
        <v>#VALUE!</v>
      </c>
      <c r="AE45" s="4" t="b">
        <f ca="1">IF(AND($C45="S",ORÇAMENTO.CodBarra&lt;&gt;""),IF(ORÇAMENTO.Fonte="",ORÇAMENTO.CodBarra,CONCATENATE(ORÇAMENTO.Fonte," ",ORÇAMENTO.CodBarra)))</f>
        <v>0</v>
      </c>
      <c r="AF45" s="58" t="e">
        <f ca="1">IF(ISERROR(INDIRECT(ORÇAMENTO.BancoRef)),"(abra o arquivo 'Referência "&amp;Excel_BuiltIn_Database&amp;".xls)",IF(OR($C45&lt;&gt;"S",ORÇAMENTO.CodBarra=""),"(Sem Código)",IF(ISERROR(MATCH($AE45,INDIRECT(ORÇAMENTO.BancoRef),0)),"(Código não identificado nas referências)",MATCH($AE45,INDIRECT(ORÇAMENTO.BancoRef),0))))</f>
        <v>#VALUE!</v>
      </c>
      <c r="AG45" s="59" t="e">
        <f ca="1">ROUND(IF(DESONERACAO="sim",REFERENCIA.Desonerado,REFERENCIA.NaoDesonerado),2)</f>
        <v>#VALUE!</v>
      </c>
      <c r="AH45" s="60">
        <f t="shared" ref="AH45:AH137" si="44">ROUND(IF(ISNUMBER(ORÇAMENTO.OpcaoBDI),ORÇAMENTO.OpcaoBDI,IF(LEFT(ORÇAMENTO.OpcaoBDI,3)="BDI",HLOOKUP(ORÇAMENTO.OpcaoBDI,$F$4:$H$5,2,FALSE),0)),15-11*$AF$9)</f>
        <v>0.2223</v>
      </c>
      <c r="AJ45" s="61"/>
      <c r="AL45" s="62"/>
      <c r="AM45" s="63" t="e">
        <f t="shared" ca="1" si="0"/>
        <v>#VALUE!</v>
      </c>
      <c r="AN45" s="64">
        <f t="shared" ref="AN45:AN137" si="45">ROUND(ORÇAMENTO.CustoUnitario*(1+$AH45),2)</f>
        <v>0</v>
      </c>
    </row>
    <row r="46" spans="1:40" x14ac:dyDescent="0.2">
      <c r="A46">
        <f t="shared" si="41"/>
        <v>3</v>
      </c>
      <c r="B46">
        <f t="shared" ref="B46:B137" ca="1" si="46">IF(OR(C46="s",C46=0),OFFSET(B46,-1,0),C46)</f>
        <v>3</v>
      </c>
      <c r="C46">
        <f t="shared" ref="C46:C137" ca="1" si="47">IF(OFFSET(C46,-1,0)="L",1,IF(OFFSET(C46,-1,0)=1,2,IF(OR(A46="s",A46=0),"S",IF(AND(OFFSET(C46,-1,0)=2,A46=4),3,IF(AND(OR(OFFSET(C46,-1,0)="s",OFFSET(C46,-1,0)=0),A46&lt;&gt;"s",A46&gt;OFFSET(B46,-1,0)),OFFSET(B46,-1,0),A46)))))</f>
        <v>3</v>
      </c>
      <c r="D46">
        <f t="shared" ref="D46:D137" ca="1" si="48">IF(OR(C46="S",C46=0),0,IF(ISERROR(K46),J46,SMALL(J46:K46,1)))</f>
        <v>9</v>
      </c>
      <c r="E46" t="e">
        <f ca="1">IF($C46=1,OFFSET(E46,-1,0)+MAX(1,COUNTIF([1]QCI!$A$13:$A$24,OFFSET('PLANILHA A LICITAR'!E46,-1,0))),OFFSET(E46,-1,0))</f>
        <v>#VALUE!</v>
      </c>
      <c r="F46">
        <f t="shared" ref="F46:F137" ca="1" si="49">IF($C46=1,0,IF($C46=2,OFFSET(F46,-1,0)+1,OFFSET(F46,-1,0)))</f>
        <v>2</v>
      </c>
      <c r="G46">
        <f t="shared" ref="G46:G137" ca="1" si="50">IF(AND($C46&lt;=2,$C46&lt;&gt;0),0,IF($C46=3,OFFSET(G46,-1,0)+1,OFFSET(G46,-1,0)))</f>
        <v>1</v>
      </c>
      <c r="H46">
        <f t="shared" ref="H46:H137" ca="1" si="51">IF(AND($C46&lt;=3,$C46&lt;&gt;0),0,IF($C46=4,OFFSET(H46,-1,0)+1,OFFSET(H46,-1,0)))</f>
        <v>0</v>
      </c>
      <c r="I46">
        <f t="shared" ref="I46:I137" ca="1" si="52">IF(AND($C46&lt;=4,$C46&lt;&gt;0),0,IF(AND($C46="S",$X46&gt;0),OFFSET(I46,-1,0)+1,OFFSET(I46,-1,0)))</f>
        <v>0</v>
      </c>
      <c r="J46">
        <f t="shared" ca="1" si="9"/>
        <v>99</v>
      </c>
      <c r="K46">
        <f ca="1">IF(OR($C46="S",$C46=0),0,MATCH(OFFSET($D46,0,$C46)+IF($C46&lt;&gt;1,1,COUNTIF([1]QCI!$A$13:$A$24,'PLANILHA A LICITAR'!E46)),OFFSET($D46,1,$C46,ROW($C$145)-ROW($C46)),0))</f>
        <v>9</v>
      </c>
      <c r="L46" s="42" t="e">
        <f t="shared" ref="L46:L137" ca="1" si="53">IF(OR($X46&gt;0,$C46=1,$C46=2,$C46=3,$C46=4),"F","")</f>
        <v>#VALUE!</v>
      </c>
      <c r="M46" s="43" t="s">
        <v>5</v>
      </c>
      <c r="N46" s="44" t="str">
        <f t="shared" ref="N46:N137" ca="1" si="54">CHOOSE(1+LOG(1+2*(C46=1)+4*(C46=2)+8*(C46=3)+16*(C46=4)+32*(C46="S"),2),"","Meta","Nível 2","Nível 3","Nível 4","Serviço")</f>
        <v>Nível 3</v>
      </c>
      <c r="O46" s="45" t="e">
        <f t="shared" ref="O46:O137" ca="1" si="55">IF(OR($C46=0,$L46=""),"-",CONCATENATE(E46&amp;".",IF(AND($A$5&gt;=2,$C46&gt;=2),F46&amp;".",""),IF(AND($A$5&gt;=3,$C46&gt;=3),G46&amp;".",""),IF(AND($A$5&gt;=4,$C46&gt;=4),H46&amp;".",""),IF($C46="S",I46&amp;".","")))</f>
        <v>#VALUE!</v>
      </c>
      <c r="P46" s="46" t="s">
        <v>62</v>
      </c>
      <c r="Q46" s="47"/>
      <c r="R46" s="48" t="s">
        <v>120</v>
      </c>
      <c r="S46" s="49" t="s">
        <v>67</v>
      </c>
      <c r="T46" s="50" t="e">
        <f ca="1">OFFSET([1]CÁLCULO!H$15,ROW($T46)-ROW(T$15),0)</f>
        <v>#VALUE!</v>
      </c>
      <c r="U46" s="51"/>
      <c r="V46" s="52" t="s">
        <v>10</v>
      </c>
      <c r="W46" s="50">
        <f ca="1">IF($C46="S",ROUND(IF(TIPOORCAMENTO="Proposto",ORÇAMENTO.CustoUnitario*(1+$AH46),ORÇAMENTO.PrecoUnitarioLicitado),15-13*$AF$10),0)</f>
        <v>0</v>
      </c>
      <c r="X46" s="53" t="e">
        <f t="shared" ca="1" si="42"/>
        <v>#VALUE!</v>
      </c>
      <c r="Y46" s="54" t="s">
        <v>63</v>
      </c>
      <c r="Z46" t="e">
        <f t="shared" ref="Z46:Z137" ca="1" si="56">IF(AND($C46="S",$X46&gt;0),IF(ISBLANK($Y46),"RA",LEFT($Y46,2)),"")</f>
        <v>#VALUE!</v>
      </c>
      <c r="AA46" s="55" t="e">
        <f ca="1">IF($C46="S",IF($Z46="CP",$X46,IF($Z46="RA",(($X46)*[1]QCI!$AA$3),0)),SomaAgrup)</f>
        <v>#VALUE!</v>
      </c>
      <c r="AB46" s="56" t="e">
        <f t="shared" ca="1" si="43"/>
        <v>#VALUE!</v>
      </c>
      <c r="AC46" s="57" t="e">
        <f ca="1">IF($N46="","",IF(ORÇAMENTO.Descricao="","DESCRIÇÃO",IF(AND($C46="S",ORÇAMENTO.Unidade=""),"UNIDADE",IF($X46&lt;0,"VALOR NEGATIVO",IF(OR(AND(TIPOORCAMENTO="Proposto",$AG46&lt;&gt;"",$AG46&gt;0,ORÇAMENTO.CustoUnitario&gt;$AG46),AND(TIPOORCAMENTO="LICITADO",ORÇAMENTO.PrecoUnitarioLicitado&gt;$AN46)),"ACIMA REF.","")))))</f>
        <v>#VALUE!</v>
      </c>
      <c r="AD46" t="e">
        <f ca="1">IF(C46&lt;=CRONO.NivelExibicao,MAX($AD$15:OFFSET(AD46,-1,0))+IF($C46&lt;&gt;1,1,MAX(1,COUNTIF([1]QCI!$A$13:$A$24,OFFSET($E46,-1,0)))),"")</f>
        <v>#VALUE!</v>
      </c>
      <c r="AE46" s="4" t="b">
        <f ca="1">IF(AND($C46="S",ORÇAMENTO.CodBarra&lt;&gt;""),IF(ORÇAMENTO.Fonte="",ORÇAMENTO.CodBarra,CONCATENATE(ORÇAMENTO.Fonte," ",ORÇAMENTO.CodBarra)))</f>
        <v>0</v>
      </c>
      <c r="AF46" s="58" t="e">
        <f ca="1">IF(ISERROR(INDIRECT(ORÇAMENTO.BancoRef)),"(abra o arquivo 'Referência "&amp;Excel_BuiltIn_Database&amp;".xls)",IF(OR($C46&lt;&gt;"S",ORÇAMENTO.CodBarra=""),"(Sem Código)",IF(ISERROR(MATCH($AE46,INDIRECT(ORÇAMENTO.BancoRef),0)),"(Código não identificado nas referências)",MATCH($AE46,INDIRECT(ORÇAMENTO.BancoRef),0))))</f>
        <v>#VALUE!</v>
      </c>
      <c r="AG46" s="59" t="e">
        <f ca="1">ROUND(IF(DESONERACAO="sim",REFERENCIA.Desonerado,REFERENCIA.NaoDesonerado),2)</f>
        <v>#VALUE!</v>
      </c>
      <c r="AH46" s="60">
        <f t="shared" si="44"/>
        <v>0.2223</v>
      </c>
      <c r="AJ46" s="61"/>
      <c r="AL46" s="62"/>
      <c r="AM46" s="63" t="e">
        <f t="shared" ca="1" si="0"/>
        <v>#VALUE!</v>
      </c>
      <c r="AN46" s="64">
        <f t="shared" si="45"/>
        <v>0</v>
      </c>
    </row>
    <row r="47" spans="1:40" ht="25.5" x14ac:dyDescent="0.2">
      <c r="A47" t="str">
        <f t="shared" si="41"/>
        <v>S</v>
      </c>
      <c r="B47">
        <f t="shared" ca="1" si="46"/>
        <v>3</v>
      </c>
      <c r="C47" t="str">
        <f t="shared" ca="1" si="47"/>
        <v>S</v>
      </c>
      <c r="D47">
        <f t="shared" ca="1" si="48"/>
        <v>0</v>
      </c>
      <c r="E47" t="e">
        <f ca="1">IF($C47=1,OFFSET(E47,-1,0)+MAX(1,COUNTIF([1]QCI!$A$13:$A$24,OFFSET('PLANILHA A LICITAR'!E47,-1,0))),OFFSET(E47,-1,0))</f>
        <v>#VALUE!</v>
      </c>
      <c r="F47">
        <f t="shared" ca="1" si="49"/>
        <v>2</v>
      </c>
      <c r="G47">
        <f t="shared" ca="1" si="50"/>
        <v>1</v>
      </c>
      <c r="H47">
        <f t="shared" ca="1" si="51"/>
        <v>0</v>
      </c>
      <c r="I47" t="e">
        <f t="shared" ca="1" si="52"/>
        <v>#VALUE!</v>
      </c>
      <c r="J47">
        <f t="shared" ca="1" si="9"/>
        <v>0</v>
      </c>
      <c r="K47">
        <f ca="1">IF(OR($C47="S",$C47=0),0,MATCH(OFFSET($D47,0,$C47)+IF($C47&lt;&gt;1,1,COUNTIF([1]QCI!$A$13:$A$24,'PLANILHA A LICITAR'!E47)),OFFSET($D47,1,$C47,ROW($C$145)-ROW($C47)),0))</f>
        <v>0</v>
      </c>
      <c r="L47" s="42" t="e">
        <f t="shared" ca="1" si="53"/>
        <v>#VALUE!</v>
      </c>
      <c r="M47" s="43" t="s">
        <v>7</v>
      </c>
      <c r="N47" s="44" t="str">
        <f t="shared" ca="1" si="54"/>
        <v>Serviço</v>
      </c>
      <c r="O47" s="45" t="e">
        <f t="shared" ca="1" si="55"/>
        <v>#VALUE!</v>
      </c>
      <c r="P47" s="46" t="s">
        <v>62</v>
      </c>
      <c r="Q47" s="47" t="s">
        <v>121</v>
      </c>
      <c r="R47" s="48" t="s">
        <v>122</v>
      </c>
      <c r="S47" s="49" t="s">
        <v>78</v>
      </c>
      <c r="T47" s="50" t="e">
        <f ca="1">OFFSET([1]CÁLCULO!H$15,ROW($T47)-ROW(T$15),0)</f>
        <v>#VALUE!</v>
      </c>
      <c r="U47" s="51" t="e">
        <f t="shared" ca="1" si="23"/>
        <v>#VALUE!</v>
      </c>
      <c r="V47" s="52" t="s">
        <v>10</v>
      </c>
      <c r="W47" s="50" t="e">
        <f ca="1">IF($C47="S",ROUND(IF(TIPOORCAMENTO="Proposto",ORÇAMENTO.CustoUnitario*(1+$AH47),ORÇAMENTO.PrecoUnitarioLicitado),15-13*$AF$10),0)</f>
        <v>#VALUE!</v>
      </c>
      <c r="X47" s="53" t="e">
        <f t="shared" ca="1" si="42"/>
        <v>#VALUE!</v>
      </c>
      <c r="Y47" s="54" t="s">
        <v>63</v>
      </c>
      <c r="Z47" t="e">
        <f t="shared" ca="1" si="56"/>
        <v>#VALUE!</v>
      </c>
      <c r="AA47" s="55" t="e">
        <f ca="1">IF($C47="S",IF($Z47="CP",$X47,IF($Z47="RA",(($X47)*[1]QCI!$AA$3),0)),SomaAgrup)</f>
        <v>#VALUE!</v>
      </c>
      <c r="AB47" s="56" t="e">
        <f t="shared" ca="1" si="43"/>
        <v>#VALUE!</v>
      </c>
      <c r="AC47" s="57" t="e">
        <f ca="1">IF($N47="","",IF(ORÇAMENTO.Descricao="","DESCRIÇÃO",IF(AND($C47="S",ORÇAMENTO.Unidade=""),"UNIDADE",IF($X47&lt;0,"VALOR NEGATIVO",IF(OR(AND(TIPOORCAMENTO="Proposto",$AG47&lt;&gt;"",$AG47&gt;0,ORÇAMENTO.CustoUnitario&gt;$AG47),AND(TIPOORCAMENTO="LICITADO",ORÇAMENTO.PrecoUnitarioLicitado&gt;$AN47)),"ACIMA REF.","")))))</f>
        <v>#VALUE!</v>
      </c>
      <c r="AD47" t="str">
        <f ca="1">IF(C47&lt;=CRONO.NivelExibicao,MAX($AD$15:OFFSET(AD47,-1,0))+IF($C47&lt;&gt;1,1,MAX(1,COUNTIF([1]QCI!$A$13:$A$24,OFFSET($E47,-1,0)))),"")</f>
        <v/>
      </c>
      <c r="AE47" s="4" t="str">
        <f ca="1">IF(AND($C47="S",ORÇAMENTO.CodBarra&lt;&gt;""),IF(ORÇAMENTO.Fonte="",ORÇAMENTO.CodBarra,CONCATENATE(ORÇAMENTO.Fonte," ",ORÇAMENTO.CodBarra)))</f>
        <v>SINAPI 93358</v>
      </c>
      <c r="AF47" s="58" t="e">
        <f ca="1">IF(ISERROR(INDIRECT(ORÇAMENTO.BancoRef)),"(abra o arquivo 'Referência "&amp;Excel_BuiltIn_Database&amp;".xls)",IF(OR($C47&lt;&gt;"S",ORÇAMENTO.CodBarra=""),"(Sem Código)",IF(ISERROR(MATCH($AE47,INDIRECT(ORÇAMENTO.BancoRef),0)),"(Código não identificado nas referências)",MATCH($AE47,INDIRECT(ORÇAMENTO.BancoRef),0))))</f>
        <v>#VALUE!</v>
      </c>
      <c r="AG47" s="59" t="e">
        <f ca="1">ROUND(IF(DESONERACAO="sim",REFERENCIA.Desonerado,REFERENCIA.NaoDesonerado),2)</f>
        <v>#VALUE!</v>
      </c>
      <c r="AH47" s="60">
        <f t="shared" si="44"/>
        <v>0.2223</v>
      </c>
      <c r="AJ47" s="61">
        <v>12.02</v>
      </c>
      <c r="AL47" s="62"/>
      <c r="AM47" s="63" t="e">
        <f t="shared" ca="1" si="0"/>
        <v>#VALUE!</v>
      </c>
      <c r="AN47" s="64" t="e">
        <f t="shared" ca="1" si="45"/>
        <v>#VALUE!</v>
      </c>
    </row>
    <row r="48" spans="1:40" x14ac:dyDescent="0.2">
      <c r="A48" t="str">
        <f t="shared" si="41"/>
        <v>S</v>
      </c>
      <c r="B48">
        <f t="shared" ca="1" si="46"/>
        <v>3</v>
      </c>
      <c r="C48" t="str">
        <f t="shared" ca="1" si="47"/>
        <v>S</v>
      </c>
      <c r="D48">
        <f t="shared" ca="1" si="48"/>
        <v>0</v>
      </c>
      <c r="E48" t="e">
        <f ca="1">IF($C48=1,OFFSET(E48,-1,0)+MAX(1,COUNTIF([1]QCI!$A$13:$A$24,OFFSET('PLANILHA A LICITAR'!E48,-1,0))),OFFSET(E48,-1,0))</f>
        <v>#VALUE!</v>
      </c>
      <c r="F48">
        <f t="shared" ca="1" si="49"/>
        <v>2</v>
      </c>
      <c r="G48">
        <f t="shared" ca="1" si="50"/>
        <v>1</v>
      </c>
      <c r="H48">
        <f t="shared" ca="1" si="51"/>
        <v>0</v>
      </c>
      <c r="I48" t="e">
        <f t="shared" ca="1" si="52"/>
        <v>#VALUE!</v>
      </c>
      <c r="J48">
        <f t="shared" ca="1" si="9"/>
        <v>0</v>
      </c>
      <c r="K48">
        <f ca="1">IF(OR($C48="S",$C48=0),0,MATCH(OFFSET($D48,0,$C48)+IF($C48&lt;&gt;1,1,COUNTIF([1]QCI!$A$13:$A$24,'PLANILHA A LICITAR'!E48)),OFFSET($D48,1,$C48,ROW($C$145)-ROW($C48)),0))</f>
        <v>0</v>
      </c>
      <c r="L48" s="42" t="e">
        <f t="shared" ca="1" si="53"/>
        <v>#VALUE!</v>
      </c>
      <c r="M48" s="43" t="s">
        <v>7</v>
      </c>
      <c r="N48" s="44" t="str">
        <f t="shared" ca="1" si="54"/>
        <v>Serviço</v>
      </c>
      <c r="O48" s="45" t="e">
        <f t="shared" ca="1" si="55"/>
        <v>#VALUE!</v>
      </c>
      <c r="P48" s="46" t="s">
        <v>62</v>
      </c>
      <c r="Q48" s="47" t="s">
        <v>123</v>
      </c>
      <c r="R48" s="48" t="s">
        <v>124</v>
      </c>
      <c r="S48" s="49" t="s">
        <v>78</v>
      </c>
      <c r="T48" s="50" t="e">
        <f ca="1">OFFSET([1]CÁLCULO!H$15,ROW($T48)-ROW(T$15),0)</f>
        <v>#VALUE!</v>
      </c>
      <c r="U48" s="51" t="e">
        <f t="shared" ca="1" si="23"/>
        <v>#VALUE!</v>
      </c>
      <c r="V48" s="52" t="s">
        <v>10</v>
      </c>
      <c r="W48" s="50" t="e">
        <f ca="1">IF($C48="S",ROUND(IF(TIPOORCAMENTO="Proposto",ORÇAMENTO.CustoUnitario*(1+$AH48),ORÇAMENTO.PrecoUnitarioLicitado),15-13*$AF$10),0)</f>
        <v>#VALUE!</v>
      </c>
      <c r="X48" s="53" t="e">
        <f t="shared" ca="1" si="42"/>
        <v>#VALUE!</v>
      </c>
      <c r="Y48" s="54" t="s">
        <v>63</v>
      </c>
      <c r="Z48" t="e">
        <f t="shared" ca="1" si="56"/>
        <v>#VALUE!</v>
      </c>
      <c r="AA48" s="55" t="e">
        <f ca="1">IF($C48="S",IF($Z48="CP",$X48,IF($Z48="RA",(($X48)*[1]QCI!$AA$3),0)),SomaAgrup)</f>
        <v>#VALUE!</v>
      </c>
      <c r="AB48" s="56" t="e">
        <f t="shared" ca="1" si="43"/>
        <v>#VALUE!</v>
      </c>
      <c r="AC48" s="57" t="e">
        <f ca="1">IF($N48="","",IF(ORÇAMENTO.Descricao="","DESCRIÇÃO",IF(AND($C48="S",ORÇAMENTO.Unidade=""),"UNIDADE",IF($X48&lt;0,"VALOR NEGATIVO",IF(OR(AND(TIPOORCAMENTO="Proposto",$AG48&lt;&gt;"",$AG48&gt;0,ORÇAMENTO.CustoUnitario&gt;$AG48),AND(TIPOORCAMENTO="LICITADO",ORÇAMENTO.PrecoUnitarioLicitado&gt;$AN48)),"ACIMA REF.","")))))</f>
        <v>#VALUE!</v>
      </c>
      <c r="AD48" t="str">
        <f ca="1">IF(C48&lt;=CRONO.NivelExibicao,MAX($AD$15:OFFSET(AD48,-1,0))+IF($C48&lt;&gt;1,1,MAX(1,COUNTIF([1]QCI!$A$13:$A$24,OFFSET($E48,-1,0)))),"")</f>
        <v/>
      </c>
      <c r="AE48" s="4" t="str">
        <f ca="1">IF(AND($C48="S",ORÇAMENTO.CodBarra&lt;&gt;""),IF(ORÇAMENTO.Fonte="",ORÇAMENTO.CodBarra,CONCATENATE(ORÇAMENTO.Fonte," ",ORÇAMENTO.CodBarra)))</f>
        <v>SINAPI 96995</v>
      </c>
      <c r="AF48" s="58" t="e">
        <f ca="1">IF(ISERROR(INDIRECT(ORÇAMENTO.BancoRef)),"(abra o arquivo 'Referência "&amp;Excel_BuiltIn_Database&amp;".xls)",IF(OR($C48&lt;&gt;"S",ORÇAMENTO.CodBarra=""),"(Sem Código)",IF(ISERROR(MATCH($AE48,INDIRECT(ORÇAMENTO.BancoRef),0)),"(Código não identificado nas referências)",MATCH($AE48,INDIRECT(ORÇAMENTO.BancoRef),0))))</f>
        <v>#VALUE!</v>
      </c>
      <c r="AG48" s="59" t="e">
        <f ca="1">ROUND(IF(DESONERACAO="sim",REFERENCIA.Desonerado,REFERENCIA.NaoDesonerado),2)</f>
        <v>#VALUE!</v>
      </c>
      <c r="AH48" s="60">
        <f t="shared" si="44"/>
        <v>0.2223</v>
      </c>
      <c r="AJ48" s="61">
        <v>3.2</v>
      </c>
      <c r="AL48" s="62"/>
      <c r="AM48" s="63" t="e">
        <f t="shared" ca="1" si="0"/>
        <v>#VALUE!</v>
      </c>
      <c r="AN48" s="64" t="e">
        <f t="shared" ca="1" si="45"/>
        <v>#VALUE!</v>
      </c>
    </row>
    <row r="49" spans="1:40" ht="38.25" x14ac:dyDescent="0.2">
      <c r="A49" t="str">
        <f t="shared" si="41"/>
        <v>S</v>
      </c>
      <c r="B49">
        <f t="shared" ca="1" si="46"/>
        <v>3</v>
      </c>
      <c r="C49" t="str">
        <f t="shared" ca="1" si="47"/>
        <v>S</v>
      </c>
      <c r="D49">
        <f t="shared" ca="1" si="48"/>
        <v>0</v>
      </c>
      <c r="E49" t="e">
        <f ca="1">IF($C49=1,OFFSET(E49,-1,0)+MAX(1,COUNTIF([1]QCI!$A$13:$A$24,OFFSET('PLANILHA A LICITAR'!E49,-1,0))),OFFSET(E49,-1,0))</f>
        <v>#VALUE!</v>
      </c>
      <c r="F49">
        <f t="shared" ca="1" si="49"/>
        <v>2</v>
      </c>
      <c r="G49">
        <f t="shared" ca="1" si="50"/>
        <v>1</v>
      </c>
      <c r="H49">
        <f t="shared" ca="1" si="51"/>
        <v>0</v>
      </c>
      <c r="I49" t="e">
        <f t="shared" ca="1" si="52"/>
        <v>#VALUE!</v>
      </c>
      <c r="J49">
        <f t="shared" ca="1" si="9"/>
        <v>0</v>
      </c>
      <c r="K49">
        <f ca="1">IF(OR($C49="S",$C49=0),0,MATCH(OFFSET($D49,0,$C49)+IF($C49&lt;&gt;1,1,COUNTIF([1]QCI!$A$13:$A$24,'PLANILHA A LICITAR'!E49)),OFFSET($D49,1,$C49,ROW($C$145)-ROW($C49)),0))</f>
        <v>0</v>
      </c>
      <c r="L49" s="42" t="e">
        <f t="shared" ca="1" si="53"/>
        <v>#VALUE!</v>
      </c>
      <c r="M49" s="43" t="s">
        <v>7</v>
      </c>
      <c r="N49" s="44" t="str">
        <f t="shared" ca="1" si="54"/>
        <v>Serviço</v>
      </c>
      <c r="O49" s="45" t="e">
        <f t="shared" ca="1" si="55"/>
        <v>#VALUE!</v>
      </c>
      <c r="P49" s="46" t="s">
        <v>62</v>
      </c>
      <c r="Q49" s="47" t="s">
        <v>125</v>
      </c>
      <c r="R49" s="48" t="s">
        <v>126</v>
      </c>
      <c r="S49" s="49" t="s">
        <v>75</v>
      </c>
      <c r="T49" s="50" t="e">
        <f ca="1">OFFSET([1]CÁLCULO!H$15,ROW($T49)-ROW(T$15),0)</f>
        <v>#VALUE!</v>
      </c>
      <c r="U49" s="51" t="e">
        <f t="shared" ca="1" si="23"/>
        <v>#VALUE!</v>
      </c>
      <c r="V49" s="52" t="s">
        <v>10</v>
      </c>
      <c r="W49" s="50" t="e">
        <f ca="1">IF($C49="S",ROUND(IF(TIPOORCAMENTO="Proposto",ORÇAMENTO.CustoUnitario*(1+$AH49),ORÇAMENTO.PrecoUnitarioLicitado),15-13*$AF$10),0)</f>
        <v>#VALUE!</v>
      </c>
      <c r="X49" s="53" t="e">
        <f t="shared" ca="1" si="42"/>
        <v>#VALUE!</v>
      </c>
      <c r="Y49" s="54" t="s">
        <v>63</v>
      </c>
      <c r="Z49" t="e">
        <f t="shared" ca="1" si="56"/>
        <v>#VALUE!</v>
      </c>
      <c r="AA49" s="55" t="e">
        <f ca="1">IF($C49="S",IF($Z49="CP",$X49,IF($Z49="RA",(($X49)*[1]QCI!$AA$3),0)),SomaAgrup)</f>
        <v>#VALUE!</v>
      </c>
      <c r="AB49" s="56" t="e">
        <f t="shared" ca="1" si="43"/>
        <v>#VALUE!</v>
      </c>
      <c r="AC49" s="57" t="e">
        <f ca="1">IF($N49="","",IF(ORÇAMENTO.Descricao="","DESCRIÇÃO",IF(AND($C49="S",ORÇAMENTO.Unidade=""),"UNIDADE",IF($X49&lt;0,"VALOR NEGATIVO",IF(OR(AND(TIPOORCAMENTO="Proposto",$AG49&lt;&gt;"",$AG49&gt;0,ORÇAMENTO.CustoUnitario&gt;$AG49),AND(TIPOORCAMENTO="LICITADO",ORÇAMENTO.PrecoUnitarioLicitado&gt;$AN49)),"ACIMA REF.","")))))</f>
        <v>#VALUE!</v>
      </c>
      <c r="AD49" t="str">
        <f ca="1">IF(C49&lt;=CRONO.NivelExibicao,MAX($AD$15:OFFSET(AD49,-1,0))+IF($C49&lt;&gt;1,1,MAX(1,COUNTIF([1]QCI!$A$13:$A$24,OFFSET($E49,-1,0)))),"")</f>
        <v/>
      </c>
      <c r="AE49" s="4" t="str">
        <f ca="1">IF(AND($C49="S",ORÇAMENTO.CodBarra&lt;&gt;""),IF(ORÇAMENTO.Fonte="",ORÇAMENTO.CodBarra,CONCATENATE(ORÇAMENTO.Fonte," ",ORÇAMENTO.CodBarra)))</f>
        <v>SINAPI 96535</v>
      </c>
      <c r="AF49" s="58" t="e">
        <f ca="1">IF(ISERROR(INDIRECT(ORÇAMENTO.BancoRef)),"(abra o arquivo 'Referência "&amp;Excel_BuiltIn_Database&amp;".xls)",IF(OR($C49&lt;&gt;"S",ORÇAMENTO.CodBarra=""),"(Sem Código)",IF(ISERROR(MATCH($AE49,INDIRECT(ORÇAMENTO.BancoRef),0)),"(Código não identificado nas referências)",MATCH($AE49,INDIRECT(ORÇAMENTO.BancoRef),0))))</f>
        <v>#VALUE!</v>
      </c>
      <c r="AG49" s="59" t="e">
        <f ca="1">ROUND(IF(DESONERACAO="sim",REFERENCIA.Desonerado,REFERENCIA.NaoDesonerado),2)</f>
        <v>#VALUE!</v>
      </c>
      <c r="AH49" s="60">
        <f t="shared" si="44"/>
        <v>0.2223</v>
      </c>
      <c r="AJ49" s="61">
        <v>34.35</v>
      </c>
      <c r="AL49" s="62"/>
      <c r="AM49" s="63" t="e">
        <f t="shared" ca="1" si="0"/>
        <v>#VALUE!</v>
      </c>
      <c r="AN49" s="64" t="e">
        <f t="shared" ca="1" si="45"/>
        <v>#VALUE!</v>
      </c>
    </row>
    <row r="50" spans="1:40" ht="38.25" x14ac:dyDescent="0.2">
      <c r="A50" t="str">
        <f t="shared" si="41"/>
        <v>S</v>
      </c>
      <c r="B50">
        <f t="shared" ca="1" si="46"/>
        <v>3</v>
      </c>
      <c r="C50" t="str">
        <f t="shared" ca="1" si="47"/>
        <v>S</v>
      </c>
      <c r="D50">
        <f t="shared" ca="1" si="48"/>
        <v>0</v>
      </c>
      <c r="E50" t="e">
        <f ca="1">IF($C50=1,OFFSET(E50,-1,0)+MAX(1,COUNTIF([1]QCI!$A$13:$A$24,OFFSET('PLANILHA A LICITAR'!E50,-1,0))),OFFSET(E50,-1,0))</f>
        <v>#VALUE!</v>
      </c>
      <c r="F50">
        <f t="shared" ca="1" si="49"/>
        <v>2</v>
      </c>
      <c r="G50">
        <f t="shared" ca="1" si="50"/>
        <v>1</v>
      </c>
      <c r="H50">
        <f t="shared" ca="1" si="51"/>
        <v>0</v>
      </c>
      <c r="I50" t="e">
        <f t="shared" ca="1" si="52"/>
        <v>#VALUE!</v>
      </c>
      <c r="J50">
        <f t="shared" ca="1" si="9"/>
        <v>0</v>
      </c>
      <c r="K50">
        <f ca="1">IF(OR($C50="S",$C50=0),0,MATCH(OFFSET($D50,0,$C50)+IF($C50&lt;&gt;1,1,COUNTIF([1]QCI!$A$13:$A$24,'PLANILHA A LICITAR'!E50)),OFFSET($D50,1,$C50,ROW($C$145)-ROW($C50)),0))</f>
        <v>0</v>
      </c>
      <c r="L50" s="42" t="e">
        <f t="shared" ca="1" si="53"/>
        <v>#VALUE!</v>
      </c>
      <c r="M50" s="43" t="s">
        <v>7</v>
      </c>
      <c r="N50" s="44" t="str">
        <f t="shared" ca="1" si="54"/>
        <v>Serviço</v>
      </c>
      <c r="O50" s="45" t="e">
        <f t="shared" ca="1" si="55"/>
        <v>#VALUE!</v>
      </c>
      <c r="P50" s="46" t="s">
        <v>62</v>
      </c>
      <c r="Q50" s="47" t="s">
        <v>127</v>
      </c>
      <c r="R50" s="48" t="s">
        <v>128</v>
      </c>
      <c r="S50" s="49" t="s">
        <v>78</v>
      </c>
      <c r="T50" s="50" t="e">
        <f ca="1">OFFSET([1]CÁLCULO!H$15,ROW($T50)-ROW(T$15),0)</f>
        <v>#VALUE!</v>
      </c>
      <c r="U50" s="51" t="e">
        <f t="shared" ca="1" si="23"/>
        <v>#VALUE!</v>
      </c>
      <c r="V50" s="52" t="s">
        <v>10</v>
      </c>
      <c r="W50" s="50" t="e">
        <f ca="1">IF($C50="S",ROUND(IF(TIPOORCAMENTO="Proposto",ORÇAMENTO.CustoUnitario*(1+$AH50),ORÇAMENTO.PrecoUnitarioLicitado),15-13*$AF$10),0)</f>
        <v>#VALUE!</v>
      </c>
      <c r="X50" s="53" t="e">
        <f t="shared" ca="1" si="42"/>
        <v>#VALUE!</v>
      </c>
      <c r="Y50" s="54" t="s">
        <v>63</v>
      </c>
      <c r="Z50" t="e">
        <f t="shared" ca="1" si="56"/>
        <v>#VALUE!</v>
      </c>
      <c r="AA50" s="55" t="e">
        <f ca="1">IF($C50="S",IF($Z50="CP",$X50,IF($Z50="RA",(($X50)*[1]QCI!$AA$3),0)),SomaAgrup)</f>
        <v>#VALUE!</v>
      </c>
      <c r="AB50" s="56" t="e">
        <f t="shared" ca="1" si="43"/>
        <v>#VALUE!</v>
      </c>
      <c r="AC50" s="57" t="e">
        <f ca="1">IF($N50="","",IF(ORÇAMENTO.Descricao="","DESCRIÇÃO",IF(AND($C50="S",ORÇAMENTO.Unidade=""),"UNIDADE",IF($X50&lt;0,"VALOR NEGATIVO",IF(OR(AND(TIPOORCAMENTO="Proposto",$AG50&lt;&gt;"",$AG50&gt;0,ORÇAMENTO.CustoUnitario&gt;$AG50),AND(TIPOORCAMENTO="LICITADO",ORÇAMENTO.PrecoUnitarioLicitado&gt;$AN50)),"ACIMA REF.","")))))</f>
        <v>#VALUE!</v>
      </c>
      <c r="AD50" t="str">
        <f ca="1">IF(C50&lt;=CRONO.NivelExibicao,MAX($AD$15:OFFSET(AD50,-1,0))+IF($C50&lt;&gt;1,1,MAX(1,COUNTIF([1]QCI!$A$13:$A$24,OFFSET($E50,-1,0)))),"")</f>
        <v/>
      </c>
      <c r="AE50" s="4" t="str">
        <f ca="1">IF(AND($C50="S",ORÇAMENTO.CodBarra&lt;&gt;""),IF(ORÇAMENTO.Fonte="",ORÇAMENTO.CodBarra,CONCATENATE(ORÇAMENTO.Fonte," ",ORÇAMENTO.CodBarra)))</f>
        <v>SINAPI 102479</v>
      </c>
      <c r="AF50" s="58" t="e">
        <f ca="1">IF(ISERROR(INDIRECT(ORÇAMENTO.BancoRef)),"(abra o arquivo 'Referência "&amp;Excel_BuiltIn_Database&amp;".xls)",IF(OR($C50&lt;&gt;"S",ORÇAMENTO.CodBarra=""),"(Sem Código)",IF(ISERROR(MATCH($AE50,INDIRECT(ORÇAMENTO.BancoRef),0)),"(Código não identificado nas referências)",MATCH($AE50,INDIRECT(ORÇAMENTO.BancoRef),0))))</f>
        <v>#VALUE!</v>
      </c>
      <c r="AG50" s="59" t="e">
        <f ca="1">ROUND(IF(DESONERACAO="sim",REFERENCIA.Desonerado,REFERENCIA.NaoDesonerado),2)</f>
        <v>#VALUE!</v>
      </c>
      <c r="AH50" s="60">
        <f t="shared" si="44"/>
        <v>0.2223</v>
      </c>
      <c r="AJ50" s="61">
        <v>0.97</v>
      </c>
      <c r="AL50" s="62"/>
      <c r="AM50" s="63" t="e">
        <f t="shared" ca="1" si="0"/>
        <v>#VALUE!</v>
      </c>
      <c r="AN50" s="64" t="e">
        <f t="shared" ca="1" si="45"/>
        <v>#VALUE!</v>
      </c>
    </row>
    <row r="51" spans="1:40" ht="25.5" x14ac:dyDescent="0.2">
      <c r="A51" t="str">
        <f t="shared" si="41"/>
        <v>S</v>
      </c>
      <c r="B51">
        <f t="shared" ca="1" si="46"/>
        <v>3</v>
      </c>
      <c r="C51" t="str">
        <f t="shared" ca="1" si="47"/>
        <v>S</v>
      </c>
      <c r="D51">
        <f t="shared" ca="1" si="48"/>
        <v>0</v>
      </c>
      <c r="E51" t="e">
        <f ca="1">IF($C51=1,OFFSET(E51,-1,0)+MAX(1,COUNTIF([1]QCI!$A$13:$A$24,OFFSET('PLANILHA A LICITAR'!E51,-1,0))),OFFSET(E51,-1,0))</f>
        <v>#VALUE!</v>
      </c>
      <c r="F51">
        <f t="shared" ca="1" si="49"/>
        <v>2</v>
      </c>
      <c r="G51">
        <f t="shared" ca="1" si="50"/>
        <v>1</v>
      </c>
      <c r="H51">
        <f t="shared" ca="1" si="51"/>
        <v>0</v>
      </c>
      <c r="I51" t="e">
        <f t="shared" ca="1" si="52"/>
        <v>#VALUE!</v>
      </c>
      <c r="J51">
        <f t="shared" ca="1" si="9"/>
        <v>0</v>
      </c>
      <c r="K51">
        <f ca="1">IF(OR($C51="S",$C51=0),0,MATCH(OFFSET($D51,0,$C51)+IF($C51&lt;&gt;1,1,COUNTIF([1]QCI!$A$13:$A$24,'PLANILHA A LICITAR'!E51)),OFFSET($D51,1,$C51,ROW($C$145)-ROW($C51)),0))</f>
        <v>0</v>
      </c>
      <c r="L51" s="42" t="e">
        <f t="shared" ca="1" si="53"/>
        <v>#VALUE!</v>
      </c>
      <c r="M51" s="43" t="s">
        <v>7</v>
      </c>
      <c r="N51" s="44" t="str">
        <f t="shared" ca="1" si="54"/>
        <v>Serviço</v>
      </c>
      <c r="O51" s="45" t="e">
        <f t="shared" ca="1" si="55"/>
        <v>#VALUE!</v>
      </c>
      <c r="P51" s="46" t="s">
        <v>62</v>
      </c>
      <c r="Q51" s="47" t="s">
        <v>129</v>
      </c>
      <c r="R51" s="48" t="s">
        <v>130</v>
      </c>
      <c r="S51" s="49" t="s">
        <v>131</v>
      </c>
      <c r="T51" s="50" t="e">
        <f ca="1">OFFSET([1]CÁLCULO!H$15,ROW($T51)-ROW(T$15),0)</f>
        <v>#VALUE!</v>
      </c>
      <c r="U51" s="51" t="e">
        <f t="shared" ca="1" si="23"/>
        <v>#VALUE!</v>
      </c>
      <c r="V51" s="52" t="s">
        <v>10</v>
      </c>
      <c r="W51" s="50" t="e">
        <f ca="1">IF($C51="S",ROUND(IF(TIPOORCAMENTO="Proposto",ORÇAMENTO.CustoUnitario*(1+$AH51),ORÇAMENTO.PrecoUnitarioLicitado),15-13*$AF$10),0)</f>
        <v>#VALUE!</v>
      </c>
      <c r="X51" s="53" t="e">
        <f t="shared" ca="1" si="42"/>
        <v>#VALUE!</v>
      </c>
      <c r="Y51" s="54" t="s">
        <v>63</v>
      </c>
      <c r="Z51" t="e">
        <f t="shared" ca="1" si="56"/>
        <v>#VALUE!</v>
      </c>
      <c r="AA51" s="55" t="e">
        <f ca="1">IF($C51="S",IF($Z51="CP",$X51,IF($Z51="RA",(($X51)*[1]QCI!$AA$3),0)),SomaAgrup)</f>
        <v>#VALUE!</v>
      </c>
      <c r="AB51" s="56" t="e">
        <f t="shared" ca="1" si="43"/>
        <v>#VALUE!</v>
      </c>
      <c r="AC51" s="57" t="e">
        <f ca="1">IF($N51="","",IF(ORÇAMENTO.Descricao="","DESCRIÇÃO",IF(AND($C51="S",ORÇAMENTO.Unidade=""),"UNIDADE",IF($X51&lt;0,"VALOR NEGATIVO",IF(OR(AND(TIPOORCAMENTO="Proposto",$AG51&lt;&gt;"",$AG51&gt;0,ORÇAMENTO.CustoUnitario&gt;$AG51),AND(TIPOORCAMENTO="LICITADO",ORÇAMENTO.PrecoUnitarioLicitado&gt;$AN51)),"ACIMA REF.","")))))</f>
        <v>#VALUE!</v>
      </c>
      <c r="AD51" t="str">
        <f ca="1">IF(C51&lt;=CRONO.NivelExibicao,MAX($AD$15:OFFSET(AD51,-1,0))+IF($C51&lt;&gt;1,1,MAX(1,COUNTIF([1]QCI!$A$13:$A$24,OFFSET($E51,-1,0)))),"")</f>
        <v/>
      </c>
      <c r="AE51" s="4" t="str">
        <f ca="1">IF(AND($C51="S",ORÇAMENTO.CodBarra&lt;&gt;""),IF(ORÇAMENTO.Fonte="",ORÇAMENTO.CodBarra,CONCATENATE(ORÇAMENTO.Fonte," ",ORÇAMENTO.CodBarra)))</f>
        <v>SINAPI 96543</v>
      </c>
      <c r="AF51" s="58" t="e">
        <f ca="1">IF(ISERROR(INDIRECT(ORÇAMENTO.BancoRef)),"(abra o arquivo 'Referência "&amp;Excel_BuiltIn_Database&amp;".xls)",IF(OR($C51&lt;&gt;"S",ORÇAMENTO.CodBarra=""),"(Sem Código)",IF(ISERROR(MATCH($AE51,INDIRECT(ORÇAMENTO.BancoRef),0)),"(Código não identificado nas referências)",MATCH($AE51,INDIRECT(ORÇAMENTO.BancoRef),0))))</f>
        <v>#VALUE!</v>
      </c>
      <c r="AG51" s="59" t="e">
        <f ca="1">ROUND(IF(DESONERACAO="sim",REFERENCIA.Desonerado,REFERENCIA.NaoDesonerado),2)</f>
        <v>#VALUE!</v>
      </c>
      <c r="AH51" s="60">
        <f t="shared" si="44"/>
        <v>0.2223</v>
      </c>
      <c r="AJ51" s="61">
        <v>134.22999999999999</v>
      </c>
      <c r="AL51" s="62"/>
      <c r="AM51" s="63" t="e">
        <f t="shared" ca="1" si="0"/>
        <v>#VALUE!</v>
      </c>
      <c r="AN51" s="64" t="e">
        <f t="shared" ca="1" si="45"/>
        <v>#VALUE!</v>
      </c>
    </row>
    <row r="52" spans="1:40" ht="25.5" x14ac:dyDescent="0.2">
      <c r="A52" t="str">
        <f t="shared" si="41"/>
        <v>S</v>
      </c>
      <c r="B52">
        <f t="shared" ca="1" si="46"/>
        <v>3</v>
      </c>
      <c r="C52" t="str">
        <f t="shared" ca="1" si="47"/>
        <v>S</v>
      </c>
      <c r="D52">
        <f t="shared" ca="1" si="48"/>
        <v>0</v>
      </c>
      <c r="E52" t="e">
        <f ca="1">IF($C52=1,OFFSET(E52,-1,0)+MAX(1,COUNTIF([1]QCI!$A$13:$A$24,OFFSET('PLANILHA A LICITAR'!E52,-1,0))),OFFSET(E52,-1,0))</f>
        <v>#VALUE!</v>
      </c>
      <c r="F52">
        <f t="shared" ca="1" si="49"/>
        <v>2</v>
      </c>
      <c r="G52">
        <f t="shared" ca="1" si="50"/>
        <v>1</v>
      </c>
      <c r="H52">
        <f t="shared" ca="1" si="51"/>
        <v>0</v>
      </c>
      <c r="I52" t="e">
        <f t="shared" ca="1" si="52"/>
        <v>#VALUE!</v>
      </c>
      <c r="J52">
        <f t="shared" ca="1" si="9"/>
        <v>0</v>
      </c>
      <c r="K52">
        <f ca="1">IF(OR($C52="S",$C52=0),0,MATCH(OFFSET($D52,0,$C52)+IF($C52&lt;&gt;1,1,COUNTIF([1]QCI!$A$13:$A$24,'PLANILHA A LICITAR'!E52)),OFFSET($D52,1,$C52,ROW($C$145)-ROW($C52)),0))</f>
        <v>0</v>
      </c>
      <c r="L52" s="42" t="e">
        <f t="shared" ca="1" si="53"/>
        <v>#VALUE!</v>
      </c>
      <c r="M52" s="43" t="s">
        <v>7</v>
      </c>
      <c r="N52" s="44" t="str">
        <f t="shared" ca="1" si="54"/>
        <v>Serviço</v>
      </c>
      <c r="O52" s="45" t="e">
        <f t="shared" ca="1" si="55"/>
        <v>#VALUE!</v>
      </c>
      <c r="P52" s="46" t="s">
        <v>62</v>
      </c>
      <c r="Q52" s="47" t="s">
        <v>132</v>
      </c>
      <c r="R52" s="48" t="s">
        <v>133</v>
      </c>
      <c r="S52" s="49" t="s">
        <v>131</v>
      </c>
      <c r="T52" s="50" t="e">
        <f ca="1">OFFSET([1]CÁLCULO!H$15,ROW($T52)-ROW(T$15),0)</f>
        <v>#VALUE!</v>
      </c>
      <c r="U52" s="51" t="e">
        <f t="shared" ca="1" si="23"/>
        <v>#VALUE!</v>
      </c>
      <c r="V52" s="52" t="s">
        <v>10</v>
      </c>
      <c r="W52" s="50" t="e">
        <f ca="1">IF($C52="S",ROUND(IF(TIPOORCAMENTO="Proposto",ORÇAMENTO.CustoUnitario*(1+$AH52),ORÇAMENTO.PrecoUnitarioLicitado),15-13*$AF$10),0)</f>
        <v>#VALUE!</v>
      </c>
      <c r="X52" s="53" t="e">
        <f t="shared" ca="1" si="42"/>
        <v>#VALUE!</v>
      </c>
      <c r="Y52" s="54" t="s">
        <v>63</v>
      </c>
      <c r="Z52" t="e">
        <f t="shared" ca="1" si="56"/>
        <v>#VALUE!</v>
      </c>
      <c r="AA52" s="55" t="e">
        <f ca="1">IF($C52="S",IF($Z52="CP",$X52,IF($Z52="RA",(($X52)*[1]QCI!$AA$3),0)),SomaAgrup)</f>
        <v>#VALUE!</v>
      </c>
      <c r="AB52" s="56" t="e">
        <f t="shared" ca="1" si="43"/>
        <v>#VALUE!</v>
      </c>
      <c r="AC52" s="57" t="e">
        <f ca="1">IF($N52="","",IF(ORÇAMENTO.Descricao="","DESCRIÇÃO",IF(AND($C52="S",ORÇAMENTO.Unidade=""),"UNIDADE",IF($X52&lt;0,"VALOR NEGATIVO",IF(OR(AND(TIPOORCAMENTO="Proposto",$AG52&lt;&gt;"",$AG52&gt;0,ORÇAMENTO.CustoUnitario&gt;$AG52),AND(TIPOORCAMENTO="LICITADO",ORÇAMENTO.PrecoUnitarioLicitado&gt;$AN52)),"ACIMA REF.","")))))</f>
        <v>#VALUE!</v>
      </c>
      <c r="AD52" t="str">
        <f ca="1">IF(C52&lt;=CRONO.NivelExibicao,MAX($AD$15:OFFSET(AD52,-1,0))+IF($C52&lt;&gt;1,1,MAX(1,COUNTIF([1]QCI!$A$13:$A$24,OFFSET($E52,-1,0)))),"")</f>
        <v/>
      </c>
      <c r="AE52" s="4" t="str">
        <f ca="1">IF(AND($C52="S",ORÇAMENTO.CodBarra&lt;&gt;""),IF(ORÇAMENTO.Fonte="",ORÇAMENTO.CodBarra,CONCATENATE(ORÇAMENTO.Fonte," ",ORÇAMENTO.CodBarra)))</f>
        <v>SINAPI 96545</v>
      </c>
      <c r="AF52" s="58" t="e">
        <f ca="1">IF(ISERROR(INDIRECT(ORÇAMENTO.BancoRef)),"(abra o arquivo 'Referência "&amp;Excel_BuiltIn_Database&amp;".xls)",IF(OR($C52&lt;&gt;"S",ORÇAMENTO.CodBarra=""),"(Sem Código)",IF(ISERROR(MATCH($AE52,INDIRECT(ORÇAMENTO.BancoRef),0)),"(Código não identificado nas referências)",MATCH($AE52,INDIRECT(ORÇAMENTO.BancoRef),0))))</f>
        <v>#VALUE!</v>
      </c>
      <c r="AG52" s="59" t="e">
        <f ca="1">ROUND(IF(DESONERACAO="sim",REFERENCIA.Desonerado,REFERENCIA.NaoDesonerado),2)</f>
        <v>#VALUE!</v>
      </c>
      <c r="AH52" s="60">
        <f t="shared" si="44"/>
        <v>0.2223</v>
      </c>
      <c r="AJ52" s="61">
        <v>61.1</v>
      </c>
      <c r="AL52" s="62"/>
      <c r="AM52" s="63" t="e">
        <f t="shared" ca="1" si="0"/>
        <v>#VALUE!</v>
      </c>
      <c r="AN52" s="64" t="e">
        <f t="shared" ca="1" si="45"/>
        <v>#VALUE!</v>
      </c>
    </row>
    <row r="53" spans="1:40" ht="25.5" x14ac:dyDescent="0.2">
      <c r="A53" t="str">
        <f t="shared" si="41"/>
        <v>S</v>
      </c>
      <c r="B53">
        <f t="shared" ca="1" si="46"/>
        <v>3</v>
      </c>
      <c r="C53" t="str">
        <f t="shared" ca="1" si="47"/>
        <v>S</v>
      </c>
      <c r="D53">
        <f t="shared" ca="1" si="48"/>
        <v>0</v>
      </c>
      <c r="E53" t="e">
        <f ca="1">IF($C53=1,OFFSET(E53,-1,0)+MAX(1,COUNTIF([1]QCI!$A$13:$A$24,OFFSET('PLANILHA A LICITAR'!E53,-1,0))),OFFSET(E53,-1,0))</f>
        <v>#VALUE!</v>
      </c>
      <c r="F53">
        <f t="shared" ca="1" si="49"/>
        <v>2</v>
      </c>
      <c r="G53">
        <f t="shared" ca="1" si="50"/>
        <v>1</v>
      </c>
      <c r="H53">
        <f t="shared" ca="1" si="51"/>
        <v>0</v>
      </c>
      <c r="I53" t="e">
        <f t="shared" ca="1" si="52"/>
        <v>#VALUE!</v>
      </c>
      <c r="J53">
        <f t="shared" ca="1" si="9"/>
        <v>0</v>
      </c>
      <c r="K53">
        <f ca="1">IF(OR($C53="S",$C53=0),0,MATCH(OFFSET($D53,0,$C53)+IF($C53&lt;&gt;1,1,COUNTIF([1]QCI!$A$13:$A$24,'PLANILHA A LICITAR'!E53)),OFFSET($D53,1,$C53,ROW($C$145)-ROW($C53)),0))</f>
        <v>0</v>
      </c>
      <c r="L53" s="42" t="e">
        <f t="shared" ca="1" si="53"/>
        <v>#VALUE!</v>
      </c>
      <c r="M53" s="43" t="s">
        <v>7</v>
      </c>
      <c r="N53" s="44" t="str">
        <f t="shared" ca="1" si="54"/>
        <v>Serviço</v>
      </c>
      <c r="O53" s="45" t="e">
        <f t="shared" ca="1" si="55"/>
        <v>#VALUE!</v>
      </c>
      <c r="P53" s="46" t="s">
        <v>62</v>
      </c>
      <c r="Q53" s="47" t="s">
        <v>134</v>
      </c>
      <c r="R53" s="48" t="s">
        <v>135</v>
      </c>
      <c r="S53" s="49" t="s">
        <v>131</v>
      </c>
      <c r="T53" s="50" t="e">
        <f ca="1">OFFSET([1]CÁLCULO!H$15,ROW($T53)-ROW(T$15),0)</f>
        <v>#VALUE!</v>
      </c>
      <c r="U53" s="51" t="e">
        <f t="shared" ca="1" si="23"/>
        <v>#VALUE!</v>
      </c>
      <c r="V53" s="52" t="s">
        <v>10</v>
      </c>
      <c r="W53" s="50" t="e">
        <f ca="1">IF($C53="S",ROUND(IF(TIPOORCAMENTO="Proposto",ORÇAMENTO.CustoUnitario*(1+$AH53),ORÇAMENTO.PrecoUnitarioLicitado),15-13*$AF$10),0)</f>
        <v>#VALUE!</v>
      </c>
      <c r="X53" s="53" t="e">
        <f t="shared" ca="1" si="42"/>
        <v>#VALUE!</v>
      </c>
      <c r="Y53" s="54" t="s">
        <v>63</v>
      </c>
      <c r="Z53" t="e">
        <f t="shared" ca="1" si="56"/>
        <v>#VALUE!</v>
      </c>
      <c r="AA53" s="55" t="e">
        <f ca="1">IF($C53="S",IF($Z53="CP",$X53,IF($Z53="RA",(($X53)*[1]QCI!$AA$3),0)),SomaAgrup)</f>
        <v>#VALUE!</v>
      </c>
      <c r="AB53" s="56" t="e">
        <f t="shared" ca="1" si="43"/>
        <v>#VALUE!</v>
      </c>
      <c r="AC53" s="57" t="e">
        <f ca="1">IF($N53="","",IF(ORÇAMENTO.Descricao="","DESCRIÇÃO",IF(AND($C53="S",ORÇAMENTO.Unidade=""),"UNIDADE",IF($X53&lt;0,"VALOR NEGATIVO",IF(OR(AND(TIPOORCAMENTO="Proposto",$AG53&lt;&gt;"",$AG53&gt;0,ORÇAMENTO.CustoUnitario&gt;$AG53),AND(TIPOORCAMENTO="LICITADO",ORÇAMENTO.PrecoUnitarioLicitado&gt;$AN53)),"ACIMA REF.","")))))</f>
        <v>#VALUE!</v>
      </c>
      <c r="AD53" t="str">
        <f ca="1">IF(C53&lt;=CRONO.NivelExibicao,MAX($AD$15:OFFSET(AD53,-1,0))+IF($C53&lt;&gt;1,1,MAX(1,COUNTIF([1]QCI!$A$13:$A$24,OFFSET($E53,-1,0)))),"")</f>
        <v/>
      </c>
      <c r="AE53" s="4" t="str">
        <f ca="1">IF(AND($C53="S",ORÇAMENTO.CodBarra&lt;&gt;""),IF(ORÇAMENTO.Fonte="",ORÇAMENTO.CodBarra,CONCATENATE(ORÇAMENTO.Fonte," ",ORÇAMENTO.CodBarra)))</f>
        <v>SINAPI 96546</v>
      </c>
      <c r="AF53" s="58" t="e">
        <f ca="1">IF(ISERROR(INDIRECT(ORÇAMENTO.BancoRef)),"(abra o arquivo 'Referência "&amp;Excel_BuiltIn_Database&amp;".xls)",IF(OR($C53&lt;&gt;"S",ORÇAMENTO.CodBarra=""),"(Sem Código)",IF(ISERROR(MATCH($AE53,INDIRECT(ORÇAMENTO.BancoRef),0)),"(Código não identificado nas referências)",MATCH($AE53,INDIRECT(ORÇAMENTO.BancoRef),0))))</f>
        <v>#VALUE!</v>
      </c>
      <c r="AG53" s="59" t="e">
        <f ca="1">ROUND(IF(DESONERACAO="sim",REFERENCIA.Desonerado,REFERENCIA.NaoDesonerado),2)</f>
        <v>#VALUE!</v>
      </c>
      <c r="AH53" s="60">
        <f t="shared" si="44"/>
        <v>0.2223</v>
      </c>
      <c r="AJ53" s="61">
        <v>340.1</v>
      </c>
      <c r="AL53" s="62"/>
      <c r="AM53" s="63" t="e">
        <f t="shared" ca="1" si="0"/>
        <v>#VALUE!</v>
      </c>
      <c r="AN53" s="64" t="e">
        <f t="shared" ca="1" si="45"/>
        <v>#VALUE!</v>
      </c>
    </row>
    <row r="54" spans="1:40" ht="38.25" x14ac:dyDescent="0.2">
      <c r="A54" t="str">
        <f t="shared" si="41"/>
        <v>S</v>
      </c>
      <c r="B54">
        <f t="shared" ca="1" si="46"/>
        <v>3</v>
      </c>
      <c r="C54" t="str">
        <f t="shared" ca="1" si="47"/>
        <v>S</v>
      </c>
      <c r="D54">
        <f t="shared" ca="1" si="48"/>
        <v>0</v>
      </c>
      <c r="E54" t="e">
        <f ca="1">IF($C54=1,OFFSET(E54,-1,0)+MAX(1,COUNTIF([1]QCI!$A$13:$A$24,OFFSET('PLANILHA A LICITAR'!E54,-1,0))),OFFSET(E54,-1,0))</f>
        <v>#VALUE!</v>
      </c>
      <c r="F54">
        <f t="shared" ca="1" si="49"/>
        <v>2</v>
      </c>
      <c r="G54">
        <f t="shared" ca="1" si="50"/>
        <v>1</v>
      </c>
      <c r="H54">
        <f t="shared" ca="1" si="51"/>
        <v>0</v>
      </c>
      <c r="I54" t="e">
        <f t="shared" ca="1" si="52"/>
        <v>#VALUE!</v>
      </c>
      <c r="J54">
        <f t="shared" ca="1" si="9"/>
        <v>0</v>
      </c>
      <c r="K54">
        <f ca="1">IF(OR($C54="S",$C54=0),0,MATCH(OFFSET($D54,0,$C54)+IF($C54&lt;&gt;1,1,COUNTIF([1]QCI!$A$13:$A$24,'PLANILHA A LICITAR'!E54)),OFFSET($D54,1,$C54,ROW($C$145)-ROW($C54)),0))</f>
        <v>0</v>
      </c>
      <c r="L54" s="42" t="e">
        <f t="shared" ca="1" si="53"/>
        <v>#VALUE!</v>
      </c>
      <c r="M54" s="43" t="s">
        <v>7</v>
      </c>
      <c r="N54" s="44" t="str">
        <f t="shared" ca="1" si="54"/>
        <v>Serviço</v>
      </c>
      <c r="O54" s="45" t="e">
        <f t="shared" ca="1" si="55"/>
        <v>#VALUE!</v>
      </c>
      <c r="P54" s="46" t="s">
        <v>62</v>
      </c>
      <c r="Q54" s="47" t="s">
        <v>136</v>
      </c>
      <c r="R54" s="48" t="s">
        <v>137</v>
      </c>
      <c r="S54" s="49" t="s">
        <v>78</v>
      </c>
      <c r="T54" s="50" t="e">
        <f ca="1">OFFSET([1]CÁLCULO!H$15,ROW($T54)-ROW(T$15),0)</f>
        <v>#VALUE!</v>
      </c>
      <c r="U54" s="51" t="e">
        <f t="shared" ca="1" si="23"/>
        <v>#VALUE!</v>
      </c>
      <c r="V54" s="52" t="s">
        <v>10</v>
      </c>
      <c r="W54" s="50" t="e">
        <f ca="1">IF($C54="S",ROUND(IF(TIPOORCAMENTO="Proposto",ORÇAMENTO.CustoUnitario*(1+$AH54),ORÇAMENTO.PrecoUnitarioLicitado),15-13*$AF$10),0)</f>
        <v>#VALUE!</v>
      </c>
      <c r="X54" s="53" t="e">
        <f t="shared" ca="1" si="42"/>
        <v>#VALUE!</v>
      </c>
      <c r="Y54" s="54" t="s">
        <v>63</v>
      </c>
      <c r="Z54" t="e">
        <f t="shared" ca="1" si="56"/>
        <v>#VALUE!</v>
      </c>
      <c r="AA54" s="55" t="e">
        <f ca="1">IF($C54="S",IF($Z54="CP",$X54,IF($Z54="RA",(($X54)*[1]QCI!$AA$3),0)),SomaAgrup)</f>
        <v>#VALUE!</v>
      </c>
      <c r="AB54" s="56" t="e">
        <f t="shared" ca="1" si="43"/>
        <v>#VALUE!</v>
      </c>
      <c r="AC54" s="57" t="e">
        <f ca="1">IF($N54="","",IF(ORÇAMENTO.Descricao="","DESCRIÇÃO",IF(AND($C54="S",ORÇAMENTO.Unidade=""),"UNIDADE",IF($X54&lt;0,"VALOR NEGATIVO",IF(OR(AND(TIPOORCAMENTO="Proposto",$AG54&lt;&gt;"",$AG54&gt;0,ORÇAMENTO.CustoUnitario&gt;$AG54),AND(TIPOORCAMENTO="LICITADO",ORÇAMENTO.PrecoUnitarioLicitado&gt;$AN54)),"ACIMA REF.","")))))</f>
        <v>#VALUE!</v>
      </c>
      <c r="AD54" t="str">
        <f ca="1">IF(C54&lt;=CRONO.NivelExibicao,MAX($AD$15:OFFSET(AD54,-1,0))+IF($C54&lt;&gt;1,1,MAX(1,COUNTIF([1]QCI!$A$13:$A$24,OFFSET($E54,-1,0)))),"")</f>
        <v/>
      </c>
      <c r="AE54" s="4" t="str">
        <f ca="1">IF(AND($C54="S",ORÇAMENTO.CodBarra&lt;&gt;""),IF(ORÇAMENTO.Fonte="",ORÇAMENTO.CodBarra,CONCATENATE(ORÇAMENTO.Fonte," ",ORÇAMENTO.CodBarra)))</f>
        <v>SINAPI 94971</v>
      </c>
      <c r="AF54" s="58" t="e">
        <f ca="1">IF(ISERROR(INDIRECT(ORÇAMENTO.BancoRef)),"(abra o arquivo 'Referência "&amp;Excel_BuiltIn_Database&amp;".xls)",IF(OR($C54&lt;&gt;"S",ORÇAMENTO.CodBarra=""),"(Sem Código)",IF(ISERROR(MATCH($AE54,INDIRECT(ORÇAMENTO.BancoRef),0)),"(Código não identificado nas referências)",MATCH($AE54,INDIRECT(ORÇAMENTO.BancoRef),0))))</f>
        <v>#VALUE!</v>
      </c>
      <c r="AG54" s="59" t="e">
        <f ca="1">ROUND(IF(DESONERACAO="sim",REFERENCIA.Desonerado,REFERENCIA.NaoDesonerado),2)</f>
        <v>#VALUE!</v>
      </c>
      <c r="AH54" s="60">
        <f t="shared" si="44"/>
        <v>0.2223</v>
      </c>
      <c r="AJ54" s="61">
        <v>5.93</v>
      </c>
      <c r="AL54" s="62"/>
      <c r="AM54" s="63" t="e">
        <f t="shared" ca="1" si="0"/>
        <v>#VALUE!</v>
      </c>
      <c r="AN54" s="64" t="e">
        <f t="shared" ca="1" si="45"/>
        <v>#VALUE!</v>
      </c>
    </row>
    <row r="55" spans="1:40" ht="25.5" x14ac:dyDescent="0.2">
      <c r="A55">
        <f t="shared" si="41"/>
        <v>3</v>
      </c>
      <c r="B55">
        <f t="shared" ca="1" si="46"/>
        <v>3</v>
      </c>
      <c r="C55">
        <f t="shared" ca="1" si="47"/>
        <v>3</v>
      </c>
      <c r="D55">
        <f t="shared" ca="1" si="48"/>
        <v>2</v>
      </c>
      <c r="E55" t="e">
        <f ca="1">IF($C55=1,OFFSET(E55,-1,0)+MAX(1,COUNTIF([1]QCI!$A$13:$A$24,OFFSET('PLANILHA A LICITAR'!E55,-1,0))),OFFSET(E55,-1,0))</f>
        <v>#VALUE!</v>
      </c>
      <c r="F55">
        <f t="shared" ca="1" si="49"/>
        <v>2</v>
      </c>
      <c r="G55">
        <f t="shared" ca="1" si="50"/>
        <v>2</v>
      </c>
      <c r="H55">
        <f t="shared" ca="1" si="51"/>
        <v>0</v>
      </c>
      <c r="I55">
        <f t="shared" ca="1" si="52"/>
        <v>0</v>
      </c>
      <c r="J55">
        <f t="shared" ca="1" si="9"/>
        <v>90</v>
      </c>
      <c r="K55">
        <f ca="1">IF(OR($C55="S",$C55=0),0,MATCH(OFFSET($D55,0,$C55)+IF($C55&lt;&gt;1,1,COUNTIF([1]QCI!$A$13:$A$24,'PLANILHA A LICITAR'!E55)),OFFSET($D55,1,$C55,ROW($C$145)-ROW($C55)),0))</f>
        <v>2</v>
      </c>
      <c r="L55" s="42" t="e">
        <f t="shared" ca="1" si="53"/>
        <v>#VALUE!</v>
      </c>
      <c r="M55" s="43" t="s">
        <v>5</v>
      </c>
      <c r="N55" s="44" t="str">
        <f t="shared" ca="1" si="54"/>
        <v>Nível 3</v>
      </c>
      <c r="O55" s="45" t="e">
        <f t="shared" ca="1" si="55"/>
        <v>#VALUE!</v>
      </c>
      <c r="P55" s="46" t="s">
        <v>62</v>
      </c>
      <c r="Q55" s="47"/>
      <c r="R55" s="48" t="s">
        <v>138</v>
      </c>
      <c r="S55" s="49" t="s">
        <v>67</v>
      </c>
      <c r="T55" s="50" t="e">
        <f ca="1">OFFSET([1]CÁLCULO!H$15,ROW($T55)-ROW(T$15),0)</f>
        <v>#VALUE!</v>
      </c>
      <c r="U55" s="51"/>
      <c r="V55" s="52" t="s">
        <v>10</v>
      </c>
      <c r="W55" s="50">
        <f ca="1">IF($C55="S",ROUND(IF(TIPOORCAMENTO="Proposto",ORÇAMENTO.CustoUnitario*(1+$AH55),ORÇAMENTO.PrecoUnitarioLicitado),15-13*$AF$10),0)</f>
        <v>0</v>
      </c>
      <c r="X55" s="53" t="e">
        <f t="shared" ca="1" si="42"/>
        <v>#VALUE!</v>
      </c>
      <c r="Y55" s="54" t="s">
        <v>63</v>
      </c>
      <c r="Z55" t="e">
        <f t="shared" ca="1" si="56"/>
        <v>#VALUE!</v>
      </c>
      <c r="AA55" s="55" t="e">
        <f ca="1">IF($C55="S",IF($Z55="CP",$X55,IF($Z55="RA",(($X55)*[1]QCI!$AA$3),0)),SomaAgrup)</f>
        <v>#VALUE!</v>
      </c>
      <c r="AB55" s="56" t="e">
        <f t="shared" ca="1" si="43"/>
        <v>#VALUE!</v>
      </c>
      <c r="AC55" s="57" t="e">
        <f ca="1">IF($N55="","",IF(ORÇAMENTO.Descricao="","DESCRIÇÃO",IF(AND($C55="S",ORÇAMENTO.Unidade=""),"UNIDADE",IF($X55&lt;0,"VALOR NEGATIVO",IF(OR(AND(TIPOORCAMENTO="Proposto",$AG55&lt;&gt;"",$AG55&gt;0,ORÇAMENTO.CustoUnitario&gt;$AG55),AND(TIPOORCAMENTO="LICITADO",ORÇAMENTO.PrecoUnitarioLicitado&gt;$AN55)),"ACIMA REF.","")))))</f>
        <v>#VALUE!</v>
      </c>
      <c r="AD55" t="e">
        <f ca="1">IF(C55&lt;=CRONO.NivelExibicao,MAX($AD$15:OFFSET(AD55,-1,0))+IF($C55&lt;&gt;1,1,MAX(1,COUNTIF([1]QCI!$A$13:$A$24,OFFSET($E55,-1,0)))),"")</f>
        <v>#VALUE!</v>
      </c>
      <c r="AE55" s="4" t="b">
        <f ca="1">IF(AND($C55="S",ORÇAMENTO.CodBarra&lt;&gt;""),IF(ORÇAMENTO.Fonte="",ORÇAMENTO.CodBarra,CONCATENATE(ORÇAMENTO.Fonte," ",ORÇAMENTO.CodBarra)))</f>
        <v>0</v>
      </c>
      <c r="AF55" s="58" t="e">
        <f ca="1">IF(ISERROR(INDIRECT(ORÇAMENTO.BancoRef)),"(abra o arquivo 'Referência "&amp;Excel_BuiltIn_Database&amp;".xls)",IF(OR($C55&lt;&gt;"S",ORÇAMENTO.CodBarra=""),"(Sem Código)",IF(ISERROR(MATCH($AE55,INDIRECT(ORÇAMENTO.BancoRef),0)),"(Código não identificado nas referências)",MATCH($AE55,INDIRECT(ORÇAMENTO.BancoRef),0))))</f>
        <v>#VALUE!</v>
      </c>
      <c r="AG55" s="59" t="e">
        <f ca="1">ROUND(IF(DESONERACAO="sim",REFERENCIA.Desonerado,REFERENCIA.NaoDesonerado),2)</f>
        <v>#VALUE!</v>
      </c>
      <c r="AH55" s="60">
        <f t="shared" si="44"/>
        <v>0.2223</v>
      </c>
      <c r="AJ55" s="61"/>
      <c r="AL55" s="62"/>
      <c r="AM55" s="63" t="e">
        <f t="shared" ca="1" si="0"/>
        <v>#VALUE!</v>
      </c>
      <c r="AN55" s="64">
        <f t="shared" si="45"/>
        <v>0</v>
      </c>
    </row>
    <row r="56" spans="1:40" ht="127.5" x14ac:dyDescent="0.2">
      <c r="A56" t="str">
        <f t="shared" si="41"/>
        <v>S</v>
      </c>
      <c r="B56">
        <f t="shared" ca="1" si="46"/>
        <v>3</v>
      </c>
      <c r="C56" t="str">
        <f t="shared" ca="1" si="47"/>
        <v>S</v>
      </c>
      <c r="D56">
        <f t="shared" ca="1" si="48"/>
        <v>0</v>
      </c>
      <c r="E56" t="e">
        <f ca="1">IF($C56=1,OFFSET(E56,-1,0)+MAX(1,COUNTIF([1]QCI!$A$13:$A$24,OFFSET('PLANILHA A LICITAR'!E56,-1,0))),OFFSET(E56,-1,0))</f>
        <v>#VALUE!</v>
      </c>
      <c r="F56">
        <f t="shared" ca="1" si="49"/>
        <v>2</v>
      </c>
      <c r="G56">
        <f t="shared" ca="1" si="50"/>
        <v>2</v>
      </c>
      <c r="H56">
        <f t="shared" ca="1" si="51"/>
        <v>0</v>
      </c>
      <c r="I56" t="e">
        <f t="shared" ca="1" si="52"/>
        <v>#VALUE!</v>
      </c>
      <c r="J56">
        <f t="shared" ca="1" si="9"/>
        <v>0</v>
      </c>
      <c r="K56">
        <f ca="1">IF(OR($C56="S",$C56=0),0,MATCH(OFFSET($D56,0,$C56)+IF($C56&lt;&gt;1,1,COUNTIF([1]QCI!$A$13:$A$24,'PLANILHA A LICITAR'!E56)),OFFSET($D56,1,$C56,ROW($C$145)-ROW($C56)),0))</f>
        <v>0</v>
      </c>
      <c r="L56" s="42" t="e">
        <f t="shared" ca="1" si="53"/>
        <v>#VALUE!</v>
      </c>
      <c r="M56" s="43" t="s">
        <v>7</v>
      </c>
      <c r="N56" s="44" t="str">
        <f t="shared" ca="1" si="54"/>
        <v>Serviço</v>
      </c>
      <c r="O56" s="45" t="e">
        <f t="shared" ca="1" si="55"/>
        <v>#VALUE!</v>
      </c>
      <c r="P56" s="46" t="s">
        <v>62</v>
      </c>
      <c r="Q56" s="47" t="s">
        <v>94</v>
      </c>
      <c r="R56" s="48" t="s">
        <v>139</v>
      </c>
      <c r="S56" s="49" t="s">
        <v>96</v>
      </c>
      <c r="T56" s="50" t="e">
        <f ca="1">OFFSET([1]CÁLCULO!H$15,ROW($T56)-ROW(T$15),0)</f>
        <v>#VALUE!</v>
      </c>
      <c r="U56" s="51">
        <v>115150</v>
      </c>
      <c r="V56" s="52" t="s">
        <v>10</v>
      </c>
      <c r="W56" s="50">
        <f ca="1">IF($C56="S",ROUND(IF(TIPOORCAMENTO="Proposto",ORÇAMENTO.CustoUnitario*(1+$AH56),ORÇAMENTO.PrecoUnitarioLicitado),15-13*$AF$10),0)</f>
        <v>140747.845</v>
      </c>
      <c r="X56" s="53" t="e">
        <f t="shared" ca="1" si="42"/>
        <v>#VALUE!</v>
      </c>
      <c r="Y56" s="54" t="s">
        <v>63</v>
      </c>
      <c r="Z56" t="e">
        <f t="shared" ca="1" si="56"/>
        <v>#VALUE!</v>
      </c>
      <c r="AA56" s="55" t="e">
        <f ca="1">IF($C56="S",IF($Z56="CP",$X56,IF($Z56="RA",(($X56)*[1]QCI!$AA$3),0)),SomaAgrup)</f>
        <v>#VALUE!</v>
      </c>
      <c r="AB56" s="56" t="e">
        <f t="shared" ca="1" si="43"/>
        <v>#VALUE!</v>
      </c>
      <c r="AC56" s="57" t="e">
        <f ca="1">IF($N56="","",IF(ORÇAMENTO.Descricao="","DESCRIÇÃO",IF(AND($C56="S",ORÇAMENTO.Unidade=""),"UNIDADE",IF($X56&lt;0,"VALOR NEGATIVO",IF(OR(AND(TIPOORCAMENTO="Proposto",$AG56&lt;&gt;"",$AG56&gt;0,ORÇAMENTO.CustoUnitario&gt;$AG56),AND(TIPOORCAMENTO="LICITADO",ORÇAMENTO.PrecoUnitarioLicitado&gt;$AN56)),"ACIMA REF.","")))))</f>
        <v>#VALUE!</v>
      </c>
      <c r="AD56" t="str">
        <f ca="1">IF(C56&lt;=CRONO.NivelExibicao,MAX($AD$15:OFFSET(AD56,-1,0))+IF($C56&lt;&gt;1,1,MAX(1,COUNTIF([1]QCI!$A$13:$A$24,OFFSET($E56,-1,0)))),"")</f>
        <v/>
      </c>
      <c r="AE56" s="4" t="str">
        <f ca="1">IF(AND($C56="S",ORÇAMENTO.CodBarra&lt;&gt;""),IF(ORÇAMENTO.Fonte="",ORÇAMENTO.CodBarra,CONCATENATE(ORÇAMENTO.Fonte," ",ORÇAMENTO.CodBarra)))</f>
        <v xml:space="preserve">SINAPI COTAÇÃO </v>
      </c>
      <c r="AF56" s="58" t="e">
        <f ca="1">IF(ISERROR(INDIRECT(ORÇAMENTO.BancoRef)),"(abra o arquivo 'Referência "&amp;Excel_BuiltIn_Database&amp;".xls)",IF(OR($C56&lt;&gt;"S",ORÇAMENTO.CodBarra=""),"(Sem Código)",IF(ISERROR(MATCH($AE56,INDIRECT(ORÇAMENTO.BancoRef),0)),"(Código não identificado nas referências)",MATCH($AE56,INDIRECT(ORÇAMENTO.BancoRef),0))))</f>
        <v>#VALUE!</v>
      </c>
      <c r="AG56" s="59" t="e">
        <f ca="1">ROUND(IF(DESONERACAO="sim",REFERENCIA.Desonerado,REFERENCIA.NaoDesonerado),2)</f>
        <v>#VALUE!</v>
      </c>
      <c r="AH56" s="60">
        <f t="shared" si="44"/>
        <v>0.2223</v>
      </c>
      <c r="AJ56" s="61">
        <v>1</v>
      </c>
      <c r="AL56" s="62"/>
      <c r="AM56" s="63" t="e">
        <f t="shared" ca="1" si="0"/>
        <v>#VALUE!</v>
      </c>
      <c r="AN56" s="64">
        <f t="shared" si="45"/>
        <v>140747.85</v>
      </c>
    </row>
    <row r="57" spans="1:40" x14ac:dyDescent="0.2">
      <c r="A57">
        <f t="shared" si="41"/>
        <v>3</v>
      </c>
      <c r="B57">
        <f t="shared" ca="1" si="46"/>
        <v>3</v>
      </c>
      <c r="C57">
        <f t="shared" ca="1" si="47"/>
        <v>3</v>
      </c>
      <c r="D57">
        <f t="shared" ca="1" si="48"/>
        <v>4</v>
      </c>
      <c r="E57" t="e">
        <f ca="1">IF($C57=1,OFFSET(E57,-1,0)+MAX(1,COUNTIF([1]QCI!$A$13:$A$24,OFFSET('PLANILHA A LICITAR'!E57,-1,0))),OFFSET(E57,-1,0))</f>
        <v>#VALUE!</v>
      </c>
      <c r="F57">
        <f t="shared" ca="1" si="49"/>
        <v>2</v>
      </c>
      <c r="G57">
        <f t="shared" ca="1" si="50"/>
        <v>3</v>
      </c>
      <c r="H57">
        <f t="shared" ca="1" si="51"/>
        <v>0</v>
      </c>
      <c r="I57">
        <f t="shared" ca="1" si="52"/>
        <v>0</v>
      </c>
      <c r="J57">
        <f t="shared" ca="1" si="9"/>
        <v>88</v>
      </c>
      <c r="K57">
        <f ca="1">IF(OR($C57="S",$C57=0),0,MATCH(OFFSET($D57,0,$C57)+IF($C57&lt;&gt;1,1,COUNTIF([1]QCI!$A$13:$A$24,'PLANILHA A LICITAR'!E57)),OFFSET($D57,1,$C57,ROW($C$145)-ROW($C57)),0))</f>
        <v>4</v>
      </c>
      <c r="L57" s="42" t="e">
        <f t="shared" ca="1" si="53"/>
        <v>#VALUE!</v>
      </c>
      <c r="M57" s="43" t="s">
        <v>5</v>
      </c>
      <c r="N57" s="44" t="str">
        <f t="shared" ca="1" si="54"/>
        <v>Nível 3</v>
      </c>
      <c r="O57" s="45" t="e">
        <f t="shared" ca="1" si="55"/>
        <v>#VALUE!</v>
      </c>
      <c r="P57" s="46" t="s">
        <v>62</v>
      </c>
      <c r="Q57" s="47"/>
      <c r="R57" s="48" t="s">
        <v>140</v>
      </c>
      <c r="S57" s="49" t="s">
        <v>67</v>
      </c>
      <c r="T57" s="50" t="e">
        <f ca="1">OFFSET([1]CÁLCULO!H$15,ROW($T57)-ROW(T$15),0)</f>
        <v>#VALUE!</v>
      </c>
      <c r="U57" s="51"/>
      <c r="V57" s="52" t="s">
        <v>10</v>
      </c>
      <c r="W57" s="50">
        <f ca="1">IF($C57="S",ROUND(IF(TIPOORCAMENTO="Proposto",ORÇAMENTO.CustoUnitario*(1+$AH57),ORÇAMENTO.PrecoUnitarioLicitado),15-13*$AF$10),0)</f>
        <v>0</v>
      </c>
      <c r="X57" s="53" t="e">
        <f t="shared" ca="1" si="42"/>
        <v>#VALUE!</v>
      </c>
      <c r="Y57" s="54" t="s">
        <v>63</v>
      </c>
      <c r="Z57" t="e">
        <f t="shared" ca="1" si="56"/>
        <v>#VALUE!</v>
      </c>
      <c r="AA57" s="55" t="e">
        <f ca="1">IF($C57="S",IF($Z57="CP",$X57,IF($Z57="RA",(($X57)*[1]QCI!$AA$3),0)),SomaAgrup)</f>
        <v>#VALUE!</v>
      </c>
      <c r="AB57" s="56" t="e">
        <f t="shared" ca="1" si="43"/>
        <v>#VALUE!</v>
      </c>
      <c r="AC57" s="57" t="e">
        <f ca="1">IF($N57="","",IF(ORÇAMENTO.Descricao="","DESCRIÇÃO",IF(AND($C57="S",ORÇAMENTO.Unidade=""),"UNIDADE",IF($X57&lt;0,"VALOR NEGATIVO",IF(OR(AND(TIPOORCAMENTO="Proposto",$AG57&lt;&gt;"",$AG57&gt;0,ORÇAMENTO.CustoUnitario&gt;$AG57),AND(TIPOORCAMENTO="LICITADO",ORÇAMENTO.PrecoUnitarioLicitado&gt;$AN57)),"ACIMA REF.","")))))</f>
        <v>#VALUE!</v>
      </c>
      <c r="AD57" t="e">
        <f ca="1">IF(C57&lt;=CRONO.NivelExibicao,MAX($AD$15:OFFSET(AD57,-1,0))+IF($C57&lt;&gt;1,1,MAX(1,COUNTIF([1]QCI!$A$13:$A$24,OFFSET($E57,-1,0)))),"")</f>
        <v>#VALUE!</v>
      </c>
      <c r="AE57" s="4" t="b">
        <f ca="1">IF(AND($C57="S",ORÇAMENTO.CodBarra&lt;&gt;""),IF(ORÇAMENTO.Fonte="",ORÇAMENTO.CodBarra,CONCATENATE(ORÇAMENTO.Fonte," ",ORÇAMENTO.CodBarra)))</f>
        <v>0</v>
      </c>
      <c r="AF57" s="58" t="e">
        <f ca="1">IF(ISERROR(INDIRECT(ORÇAMENTO.BancoRef)),"(abra o arquivo 'Referência "&amp;Excel_BuiltIn_Database&amp;".xls)",IF(OR($C57&lt;&gt;"S",ORÇAMENTO.CodBarra=""),"(Sem Código)",IF(ISERROR(MATCH($AE57,INDIRECT(ORÇAMENTO.BancoRef),0)),"(Código não identificado nas referências)",MATCH($AE57,INDIRECT(ORÇAMENTO.BancoRef),0))))</f>
        <v>#VALUE!</v>
      </c>
      <c r="AG57" s="59" t="e">
        <f ca="1">ROUND(IF(DESONERACAO="sim",REFERENCIA.Desonerado,REFERENCIA.NaoDesonerado),2)</f>
        <v>#VALUE!</v>
      </c>
      <c r="AH57" s="60">
        <f t="shared" si="44"/>
        <v>0.2223</v>
      </c>
      <c r="AJ57" s="61"/>
      <c r="AL57" s="62"/>
      <c r="AM57" s="63" t="e">
        <f t="shared" ca="1" si="0"/>
        <v>#VALUE!</v>
      </c>
      <c r="AN57" s="64">
        <f t="shared" si="45"/>
        <v>0</v>
      </c>
    </row>
    <row r="58" spans="1:40" ht="38.25" x14ac:dyDescent="0.2">
      <c r="A58" t="str">
        <f t="shared" si="41"/>
        <v>S</v>
      </c>
      <c r="B58">
        <f t="shared" ca="1" si="46"/>
        <v>3</v>
      </c>
      <c r="C58" t="str">
        <f t="shared" ca="1" si="47"/>
        <v>S</v>
      </c>
      <c r="D58">
        <f t="shared" ca="1" si="48"/>
        <v>0</v>
      </c>
      <c r="E58" t="e">
        <f ca="1">IF($C58=1,OFFSET(E58,-1,0)+MAX(1,COUNTIF([1]QCI!$A$13:$A$24,OFFSET('PLANILHA A LICITAR'!E58,-1,0))),OFFSET(E58,-1,0))</f>
        <v>#VALUE!</v>
      </c>
      <c r="F58">
        <f t="shared" ca="1" si="49"/>
        <v>2</v>
      </c>
      <c r="G58">
        <f t="shared" ca="1" si="50"/>
        <v>3</v>
      </c>
      <c r="H58">
        <f t="shared" ca="1" si="51"/>
        <v>0</v>
      </c>
      <c r="I58" t="e">
        <f t="shared" ca="1" si="52"/>
        <v>#VALUE!</v>
      </c>
      <c r="J58">
        <f t="shared" ca="1" si="9"/>
        <v>0</v>
      </c>
      <c r="K58">
        <f ca="1">IF(OR($C58="S",$C58=0),0,MATCH(OFFSET($D58,0,$C58)+IF($C58&lt;&gt;1,1,COUNTIF([1]QCI!$A$13:$A$24,'PLANILHA A LICITAR'!E58)),OFFSET($D58,1,$C58,ROW($C$145)-ROW($C58)),0))</f>
        <v>0</v>
      </c>
      <c r="L58" s="42" t="e">
        <f t="shared" ca="1" si="53"/>
        <v>#VALUE!</v>
      </c>
      <c r="M58" s="43" t="s">
        <v>7</v>
      </c>
      <c r="N58" s="44" t="str">
        <f t="shared" ca="1" si="54"/>
        <v>Serviço</v>
      </c>
      <c r="O58" s="45" t="e">
        <f t="shared" ca="1" si="55"/>
        <v>#VALUE!</v>
      </c>
      <c r="P58" s="46" t="s">
        <v>62</v>
      </c>
      <c r="Q58" s="47" t="s">
        <v>98</v>
      </c>
      <c r="R58" s="48" t="s">
        <v>99</v>
      </c>
      <c r="S58" s="49" t="s">
        <v>75</v>
      </c>
      <c r="T58" s="50" t="e">
        <f ca="1">OFFSET([1]CÁLCULO!H$15,ROW($T58)-ROW(T$15),0)</f>
        <v>#VALUE!</v>
      </c>
      <c r="U58" s="51" t="e">
        <f t="shared" ca="1" si="23"/>
        <v>#VALUE!</v>
      </c>
      <c r="V58" s="52" t="s">
        <v>10</v>
      </c>
      <c r="W58" s="50" t="e">
        <f ca="1">IF($C58="S",ROUND(IF(TIPOORCAMENTO="Proposto",ORÇAMENTO.CustoUnitario*(1+$AH58),ORÇAMENTO.PrecoUnitarioLicitado),15-13*$AF$10),0)</f>
        <v>#VALUE!</v>
      </c>
      <c r="X58" s="53" t="e">
        <f t="shared" ca="1" si="42"/>
        <v>#VALUE!</v>
      </c>
      <c r="Y58" s="54" t="s">
        <v>63</v>
      </c>
      <c r="Z58" t="e">
        <f t="shared" ca="1" si="56"/>
        <v>#VALUE!</v>
      </c>
      <c r="AA58" s="55" t="e">
        <f ca="1">IF($C58="S",IF($Z58="CP",$X58,IF($Z58="RA",(($X58)*[1]QCI!$AA$3),0)),SomaAgrup)</f>
        <v>#VALUE!</v>
      </c>
      <c r="AB58" s="56" t="e">
        <f t="shared" ca="1" si="43"/>
        <v>#VALUE!</v>
      </c>
      <c r="AC58" s="57" t="e">
        <f ca="1">IF($N58="","",IF(ORÇAMENTO.Descricao="","DESCRIÇÃO",IF(AND($C58="S",ORÇAMENTO.Unidade=""),"UNIDADE",IF($X58&lt;0,"VALOR NEGATIVO",IF(OR(AND(TIPOORCAMENTO="Proposto",$AG58&lt;&gt;"",$AG58&gt;0,ORÇAMENTO.CustoUnitario&gt;$AG58),AND(TIPOORCAMENTO="LICITADO",ORÇAMENTO.PrecoUnitarioLicitado&gt;$AN58)),"ACIMA REF.","")))))</f>
        <v>#VALUE!</v>
      </c>
      <c r="AD58" t="str">
        <f ca="1">IF(C58&lt;=CRONO.NivelExibicao,MAX($AD$15:OFFSET(AD58,-1,0))+IF($C58&lt;&gt;1,1,MAX(1,COUNTIF([1]QCI!$A$13:$A$24,OFFSET($E58,-1,0)))),"")</f>
        <v/>
      </c>
      <c r="AE58" s="4" t="str">
        <f ca="1">IF(AND($C58="S",ORÇAMENTO.CodBarra&lt;&gt;""),IF(ORÇAMENTO.Fonte="",ORÇAMENTO.CodBarra,CONCATENATE(ORÇAMENTO.Fonte," ",ORÇAMENTO.CodBarra)))</f>
        <v>SINAPI 103319</v>
      </c>
      <c r="AF58" s="58" t="e">
        <f ca="1">IF(ISERROR(INDIRECT(ORÇAMENTO.BancoRef)),"(abra o arquivo 'Referência "&amp;Excel_BuiltIn_Database&amp;".xls)",IF(OR($C58&lt;&gt;"S",ORÇAMENTO.CodBarra=""),"(Sem Código)",IF(ISERROR(MATCH($AE58,INDIRECT(ORÇAMENTO.BancoRef),0)),"(Código não identificado nas referências)",MATCH($AE58,INDIRECT(ORÇAMENTO.BancoRef),0))))</f>
        <v>#VALUE!</v>
      </c>
      <c r="AG58" s="59" t="e">
        <f ca="1">ROUND(IF(DESONERACAO="sim",REFERENCIA.Desonerado,REFERENCIA.NaoDesonerado),2)</f>
        <v>#VALUE!</v>
      </c>
      <c r="AH58" s="60">
        <f t="shared" si="44"/>
        <v>0.2223</v>
      </c>
      <c r="AJ58" s="61">
        <v>466.09</v>
      </c>
      <c r="AL58" s="62"/>
      <c r="AM58" s="63" t="e">
        <f t="shared" ca="1" si="0"/>
        <v>#VALUE!</v>
      </c>
      <c r="AN58" s="64" t="e">
        <f t="shared" ca="1" si="45"/>
        <v>#VALUE!</v>
      </c>
    </row>
    <row r="59" spans="1:40" ht="38.25" x14ac:dyDescent="0.2">
      <c r="A59" t="str">
        <f t="shared" si="41"/>
        <v>S</v>
      </c>
      <c r="B59">
        <f t="shared" ca="1" si="46"/>
        <v>3</v>
      </c>
      <c r="C59" t="str">
        <f t="shared" ca="1" si="47"/>
        <v>S</v>
      </c>
      <c r="D59">
        <f t="shared" ca="1" si="48"/>
        <v>0</v>
      </c>
      <c r="E59" t="e">
        <f ca="1">IF($C59=1,OFFSET(E59,-1,0)+MAX(1,COUNTIF([1]QCI!$A$13:$A$24,OFFSET('PLANILHA A LICITAR'!E59,-1,0))),OFFSET(E59,-1,0))</f>
        <v>#VALUE!</v>
      </c>
      <c r="F59">
        <f t="shared" ca="1" si="49"/>
        <v>2</v>
      </c>
      <c r="G59">
        <f t="shared" ca="1" si="50"/>
        <v>3</v>
      </c>
      <c r="H59">
        <f t="shared" ca="1" si="51"/>
        <v>0</v>
      </c>
      <c r="I59" t="e">
        <f t="shared" ca="1" si="52"/>
        <v>#VALUE!</v>
      </c>
      <c r="J59">
        <f t="shared" ca="1" si="9"/>
        <v>0</v>
      </c>
      <c r="K59">
        <f ca="1">IF(OR($C59="S",$C59=0),0,MATCH(OFFSET($D59,0,$C59)+IF($C59&lt;&gt;1,1,COUNTIF([1]QCI!$A$13:$A$24,'PLANILHA A LICITAR'!E59)),OFFSET($D59,1,$C59,ROW($C$145)-ROW($C59)),0))</f>
        <v>0</v>
      </c>
      <c r="L59" s="42" t="e">
        <f t="shared" ca="1" si="53"/>
        <v>#VALUE!</v>
      </c>
      <c r="M59" s="43" t="s">
        <v>7</v>
      </c>
      <c r="N59" s="44" t="str">
        <f t="shared" ca="1" si="54"/>
        <v>Serviço</v>
      </c>
      <c r="O59" s="45" t="e">
        <f t="shared" ca="1" si="55"/>
        <v>#VALUE!</v>
      </c>
      <c r="P59" s="46" t="s">
        <v>62</v>
      </c>
      <c r="Q59" s="47">
        <v>102253</v>
      </c>
      <c r="R59" s="48" t="s">
        <v>141</v>
      </c>
      <c r="S59" s="49" t="s">
        <v>75</v>
      </c>
      <c r="T59" s="50" t="e">
        <f ca="1">OFFSET([1]CÁLCULO!H$15,ROW($T59)-ROW(T$15),0)</f>
        <v>#VALUE!</v>
      </c>
      <c r="U59" s="51" t="e">
        <f t="shared" ca="1" si="23"/>
        <v>#VALUE!</v>
      </c>
      <c r="V59" s="52" t="s">
        <v>10</v>
      </c>
      <c r="W59" s="50" t="e">
        <f ca="1">IF($C59="S",ROUND(IF(TIPOORCAMENTO="Proposto",ORÇAMENTO.CustoUnitario*(1+$AH59),ORÇAMENTO.PrecoUnitarioLicitado),15-13*$AF$10),0)</f>
        <v>#VALUE!</v>
      </c>
      <c r="X59" s="53" t="e">
        <f t="shared" ca="1" si="42"/>
        <v>#VALUE!</v>
      </c>
      <c r="Y59" s="54" t="s">
        <v>63</v>
      </c>
      <c r="Z59" t="e">
        <f t="shared" ca="1" si="56"/>
        <v>#VALUE!</v>
      </c>
      <c r="AA59" s="55" t="e">
        <f ca="1">IF($C59="S",IF($Z59="CP",$X59,IF($Z59="RA",(($X59)*[1]QCI!$AA$3),0)),SomaAgrup)</f>
        <v>#VALUE!</v>
      </c>
      <c r="AB59" s="56" t="e">
        <f t="shared" ca="1" si="43"/>
        <v>#VALUE!</v>
      </c>
      <c r="AC59" s="57" t="e">
        <f ca="1">IF($N59="","",IF(ORÇAMENTO.Descricao="","DESCRIÇÃO",IF(AND($C59="S",ORÇAMENTO.Unidade=""),"UNIDADE",IF($X59&lt;0,"VALOR NEGATIVO",IF(OR(AND(TIPOORCAMENTO="Proposto",$AG59&lt;&gt;"",$AG59&gt;0,ORÇAMENTO.CustoUnitario&gt;$AG59),AND(TIPOORCAMENTO="LICITADO",ORÇAMENTO.PrecoUnitarioLicitado&gt;$AN59)),"ACIMA REF.","")))))</f>
        <v>#VALUE!</v>
      </c>
      <c r="AD59" t="str">
        <f ca="1">IF(C59&lt;=CRONO.NivelExibicao,MAX($AD$15:OFFSET(AD59,-1,0))+IF($C59&lt;&gt;1,1,MAX(1,COUNTIF([1]QCI!$A$13:$A$24,OFFSET($E59,-1,0)))),"")</f>
        <v/>
      </c>
      <c r="AE59" s="4" t="str">
        <f ca="1">IF(AND($C59="S",ORÇAMENTO.CodBarra&lt;&gt;""),IF(ORÇAMENTO.Fonte="",ORÇAMENTO.CodBarra,CONCATENATE(ORÇAMENTO.Fonte," ",ORÇAMENTO.CodBarra)))</f>
        <v>SINAPI 102253</v>
      </c>
      <c r="AF59" s="58" t="e">
        <f ca="1">IF(ISERROR(INDIRECT(ORÇAMENTO.BancoRef)),"(abra o arquivo 'Referência "&amp;Excel_BuiltIn_Database&amp;".xls)",IF(OR($C59&lt;&gt;"S",ORÇAMENTO.CodBarra=""),"(Sem Código)",IF(ISERROR(MATCH($AE59,INDIRECT(ORÇAMENTO.BancoRef),0)),"(Código não identificado nas referências)",MATCH($AE59,INDIRECT(ORÇAMENTO.BancoRef),0))))</f>
        <v>#VALUE!</v>
      </c>
      <c r="AG59" s="59" t="e">
        <f ca="1">ROUND(IF(DESONERACAO="sim",REFERENCIA.Desonerado,REFERENCIA.NaoDesonerado),2)</f>
        <v>#VALUE!</v>
      </c>
      <c r="AH59" s="60">
        <f t="shared" si="44"/>
        <v>0.2223</v>
      </c>
      <c r="AJ59" s="61">
        <v>27.65</v>
      </c>
      <c r="AL59" s="62"/>
      <c r="AM59" s="63" t="e">
        <f t="shared" ca="1" si="0"/>
        <v>#VALUE!</v>
      </c>
      <c r="AN59" s="64" t="e">
        <f t="shared" ca="1" si="45"/>
        <v>#VALUE!</v>
      </c>
    </row>
    <row r="60" spans="1:40" ht="25.5" x14ac:dyDescent="0.2">
      <c r="A60" t="str">
        <f>CHOOSE(1+LOG(1+2*(ORÇAMENTO.Nivel="Meta")+4*(ORÇAMENTO.Nivel="Nível 2")+8*(ORÇAMENTO.Nivel="Nível 3")+16*(ORÇAMENTO.Nivel="Nível 4")+32*(ORÇAMENTO.Nivel="Serviço"),2),0,1,2,3,4,"S")</f>
        <v>S</v>
      </c>
      <c r="B60">
        <f ca="1">IF(OR(C60="s",C60=0),OFFSET(B60,-1,0),C60)</f>
        <v>3</v>
      </c>
      <c r="C60" t="str">
        <f ca="1">IF(OFFSET(C60,-1,0)="L",1,IF(OFFSET(C60,-1,0)=1,2,IF(OR(A60="s",A60=0),"S",IF(AND(OFFSET(C60,-1,0)=2,A60=4),3,IF(AND(OR(OFFSET(C60,-1,0)="s",OFFSET(C60,-1,0)=0),A60&lt;&gt;"s",A60&gt;OFFSET(B60,-1,0)),OFFSET(B60,-1,0),A60)))))</f>
        <v>S</v>
      </c>
      <c r="D60">
        <f ca="1">IF(OR(C60="S",C60=0),0,IF(ISERROR(K60),J60,SMALL(J60:K60,1)))</f>
        <v>0</v>
      </c>
      <c r="E60" t="e">
        <f ca="1">IF($C60=1,OFFSET(E60,-1,0)+MAX(1,COUNTIF([1]QCI!$A$13:$A$24,OFFSET('PLANILHA A LICITAR'!E60,-1,0))),OFFSET(E60,-1,0))</f>
        <v>#VALUE!</v>
      </c>
      <c r="F60">
        <f ca="1">IF($C60=1,0,IF($C60=2,OFFSET(F60,-1,0)+1,OFFSET(F60,-1,0)))</f>
        <v>2</v>
      </c>
      <c r="G60">
        <f ca="1">IF(AND($C60&lt;=2,$C60&lt;&gt;0),0,IF($C60=3,OFFSET(G60,-1,0)+1,OFFSET(G60,-1,0)))</f>
        <v>3</v>
      </c>
      <c r="H60">
        <f ca="1">IF(AND($C60&lt;=3,$C60&lt;&gt;0),0,IF($C60=4,OFFSET(H60,-1,0)+1,OFFSET(H60,-1,0)))</f>
        <v>0</v>
      </c>
      <c r="I60" t="e">
        <f ca="1">IF(AND($C60&lt;=4,$C60&lt;&gt;0),0,IF(AND($C60="S",$X60&gt;0),OFFSET(I60,-1,0)+1,OFFSET(I60,-1,0)))</f>
        <v>#VALUE!</v>
      </c>
      <c r="J60">
        <f t="shared" ca="1" si="9"/>
        <v>0</v>
      </c>
      <c r="K60">
        <f ca="1">IF(OR($C60="S",$C60=0),0,MATCH(OFFSET($D60,0,$C60)+IF($C60&lt;&gt;1,1,COUNTIF([1]QCI!$A$13:$A$24,'PLANILHA A LICITAR'!E60)),OFFSET($D60,1,$C60,ROW($C$145)-ROW($C60)),0))</f>
        <v>0</v>
      </c>
      <c r="L60" s="42" t="e">
        <f ca="1">IF(OR($X60&gt;0,$C60=1,$C60=2,$C60=3,$C60=4),"F","")</f>
        <v>#VALUE!</v>
      </c>
      <c r="M60" s="43" t="s">
        <v>7</v>
      </c>
      <c r="N60" s="44" t="str">
        <f ca="1">CHOOSE(1+LOG(1+2*(C60=1)+4*(C60=2)+8*(C60=3)+16*(C60=4)+32*(C60="S"),2),"","Meta","Nível 2","Nível 3","Nível 4","Serviço")</f>
        <v>Serviço</v>
      </c>
      <c r="O60" s="45" t="e">
        <f ca="1">IF(OR($C60=0,$L60=""),"-",CONCATENATE(E60&amp;".",IF(AND($A$5&gt;=2,$C60&gt;=2),F60&amp;".",""),IF(AND($A$5&gt;=3,$C60&gt;=3),G60&amp;".",""),IF(AND($A$5&gt;=4,$C60&gt;=4),H60&amp;".",""),IF($C60="S",I60&amp;".","")))</f>
        <v>#VALUE!</v>
      </c>
      <c r="P60" s="46" t="s">
        <v>142</v>
      </c>
      <c r="Q60" s="47" t="s">
        <v>143</v>
      </c>
      <c r="R60" s="48" t="s">
        <v>144</v>
      </c>
      <c r="S60" s="49" t="s">
        <v>75</v>
      </c>
      <c r="T60" s="50" t="e">
        <f ca="1">OFFSET([1]CÁLCULO!H$15,ROW($T60)-ROW(T$15),0)</f>
        <v>#VALUE!</v>
      </c>
      <c r="U60" s="51">
        <v>195.81</v>
      </c>
      <c r="V60" s="52" t="s">
        <v>10</v>
      </c>
      <c r="W60" s="50">
        <f ca="1">IF($C60="S",ROUND(IF(TIPOORCAMENTO="Proposto",ORÇAMENTO.CustoUnitario*(1+$AH60),ORÇAMENTO.PrecoUnitarioLicitado),15-13*$AF$10),0)</f>
        <v>239.33856299999999</v>
      </c>
      <c r="X60" s="53" t="e">
        <f ca="1">IF($C60="S",VTOTAL1,IF($C60=0,0,ROUND(SomaAgrup,15-13*$AF$11)))</f>
        <v>#VALUE!</v>
      </c>
      <c r="Y60" s="54" t="s">
        <v>63</v>
      </c>
      <c r="Z60" t="e">
        <f ca="1">IF(AND($C60="S",$X60&gt;0),IF(ISBLANK($Y60),"RA",LEFT($Y60,2)),"")</f>
        <v>#VALUE!</v>
      </c>
      <c r="AA60" s="55" t="e">
        <f ca="1">IF($C60="S",IF($Z60="CP",$X60,IF($Z60="RA",(($X60)*[1]QCI!$AA$3),0)),SomaAgrup)</f>
        <v>#VALUE!</v>
      </c>
      <c r="AB60" s="56" t="e">
        <f ca="1">IF($C60="S",IF($Z60="OU",ROUND($X60,2),0),SomaAgrup)</f>
        <v>#VALUE!</v>
      </c>
      <c r="AC60" s="57" t="e">
        <f ca="1">IF($N60="","",IF(ORÇAMENTO.Descricao="","DESCRIÇÃO",IF(AND($C60="S",ORÇAMENTO.Unidade=""),"UNIDADE",IF($X60&lt;0,"VALOR NEGATIVO",IF(OR(AND(TIPOORCAMENTO="Proposto",$AG60&lt;&gt;"",$AG60&gt;0,ORÇAMENTO.CustoUnitario&gt;$AG60),AND(TIPOORCAMENTO="LICITADO",ORÇAMENTO.PrecoUnitarioLicitado&gt;$AN60)),"ACIMA REF.","")))))</f>
        <v>#VALUE!</v>
      </c>
      <c r="AD60" t="str">
        <f ca="1">IF(C60&lt;=CRONO.NivelExibicao,MAX($AD$15:OFFSET(AD60,-1,0))+IF($C60&lt;&gt;1,1,MAX(1,COUNTIF([1]QCI!$A$13:$A$24,OFFSET($E60,-1,0)))),"")</f>
        <v/>
      </c>
      <c r="AE60" s="4" t="str">
        <f ca="1">IF(AND($C60="S",ORÇAMENTO.CodBarra&lt;&gt;""),IF(ORÇAMENTO.Fonte="",ORÇAMENTO.CodBarra,CONCATENATE(ORÇAMENTO.Fonte," ",ORÇAMENTO.CodBarra)))</f>
        <v>SICRO AUX3040</v>
      </c>
      <c r="AF60" s="58" t="e">
        <f ca="1">IF(ISERROR(INDIRECT(ORÇAMENTO.BancoRef)),"(abra o arquivo 'Referência "&amp;Excel_BuiltIn_Database&amp;".xls)",IF(OR($C60&lt;&gt;"S",ORÇAMENTO.CodBarra=""),"(Sem Código)",IF(ISERROR(MATCH($AE60,INDIRECT(ORÇAMENTO.BancoRef),0)),"(Código não identificado nas referências)",MATCH($AE60,INDIRECT(ORÇAMENTO.BancoRef),0))))</f>
        <v>#VALUE!</v>
      </c>
      <c r="AG60" s="59" t="e">
        <f ca="1">ROUND(IF(DESONERACAO="sim",REFERENCIA.Desonerado,REFERENCIA.NaoDesonerado),2)</f>
        <v>#VALUE!</v>
      </c>
      <c r="AH60" s="60">
        <f>ROUND(IF(ISNUMBER(ORÇAMENTO.OpcaoBDI),ORÇAMENTO.OpcaoBDI,IF(LEFT(ORÇAMENTO.OpcaoBDI,3)="BDI",HLOOKUP(ORÇAMENTO.OpcaoBDI,$F$4:$H$5,2,FALSE),0)),15-11*$AF$9)</f>
        <v>0.2223</v>
      </c>
      <c r="AJ60" s="61">
        <v>18.989999999999998</v>
      </c>
      <c r="AL60" s="62"/>
      <c r="AM60" s="63" t="e">
        <f t="shared" ca="1" si="0"/>
        <v>#VALUE!</v>
      </c>
      <c r="AN60" s="64">
        <f>ROUND(ORÇAMENTO.CustoUnitario*(1+$AH60),2)</f>
        <v>239.34</v>
      </c>
    </row>
    <row r="61" spans="1:40" x14ac:dyDescent="0.2">
      <c r="A61">
        <f t="shared" si="41"/>
        <v>3</v>
      </c>
      <c r="B61">
        <f t="shared" ca="1" si="46"/>
        <v>3</v>
      </c>
      <c r="C61">
        <f t="shared" ca="1" si="47"/>
        <v>3</v>
      </c>
      <c r="D61">
        <f t="shared" ca="1" si="48"/>
        <v>5</v>
      </c>
      <c r="E61" t="e">
        <f ca="1">IF($C61=1,OFFSET(E61,-1,0)+MAX(1,COUNTIF([1]QCI!$A$13:$A$24,OFFSET('PLANILHA A LICITAR'!E61,-1,0))),OFFSET(E61,-1,0))</f>
        <v>#VALUE!</v>
      </c>
      <c r="F61">
        <f t="shared" ca="1" si="49"/>
        <v>2</v>
      </c>
      <c r="G61">
        <f t="shared" ca="1" si="50"/>
        <v>4</v>
      </c>
      <c r="H61">
        <f t="shared" ca="1" si="51"/>
        <v>0</v>
      </c>
      <c r="I61">
        <f t="shared" ca="1" si="52"/>
        <v>0</v>
      </c>
      <c r="J61">
        <f t="shared" ca="1" si="9"/>
        <v>84</v>
      </c>
      <c r="K61">
        <f ca="1">IF(OR($C61="S",$C61=0),0,MATCH(OFFSET($D61,0,$C61)+IF($C61&lt;&gt;1,1,COUNTIF([1]QCI!$A$13:$A$24,'PLANILHA A LICITAR'!E61)),OFFSET($D61,1,$C61,ROW($C$145)-ROW($C61)),0))</f>
        <v>5</v>
      </c>
      <c r="L61" s="42" t="e">
        <f t="shared" ca="1" si="53"/>
        <v>#VALUE!</v>
      </c>
      <c r="M61" s="43" t="s">
        <v>5</v>
      </c>
      <c r="N61" s="44" t="str">
        <f t="shared" ca="1" si="54"/>
        <v>Nível 3</v>
      </c>
      <c r="O61" s="45" t="e">
        <f t="shared" ca="1" si="55"/>
        <v>#VALUE!</v>
      </c>
      <c r="P61" s="46" t="s">
        <v>62</v>
      </c>
      <c r="Q61" s="47"/>
      <c r="R61" s="48" t="s">
        <v>110</v>
      </c>
      <c r="S61" s="49" t="s">
        <v>67</v>
      </c>
      <c r="T61" s="50" t="e">
        <f ca="1">OFFSET([1]CÁLCULO!H$15,ROW($T61)-ROW(T$15),0)</f>
        <v>#VALUE!</v>
      </c>
      <c r="U61" s="51"/>
      <c r="V61" s="52" t="s">
        <v>10</v>
      </c>
      <c r="W61" s="50">
        <f ca="1">IF($C61="S",ROUND(IF(TIPOORCAMENTO="Proposto",ORÇAMENTO.CustoUnitario*(1+$AH61),ORÇAMENTO.PrecoUnitarioLicitado),15-13*$AF$10),0)</f>
        <v>0</v>
      </c>
      <c r="X61" s="53" t="e">
        <f t="shared" ca="1" si="42"/>
        <v>#VALUE!</v>
      </c>
      <c r="Y61" s="54" t="s">
        <v>63</v>
      </c>
      <c r="Z61" t="e">
        <f t="shared" ca="1" si="56"/>
        <v>#VALUE!</v>
      </c>
      <c r="AA61" s="55" t="e">
        <f ca="1">IF($C61="S",IF($Z61="CP",$X61,IF($Z61="RA",(($X61)*[1]QCI!$AA$3),0)),SomaAgrup)</f>
        <v>#VALUE!</v>
      </c>
      <c r="AB61" s="56" t="e">
        <f t="shared" ca="1" si="43"/>
        <v>#VALUE!</v>
      </c>
      <c r="AC61" s="57" t="e">
        <f ca="1">IF($N61="","",IF(ORÇAMENTO.Descricao="","DESCRIÇÃO",IF(AND($C61="S",ORÇAMENTO.Unidade=""),"UNIDADE",IF($X61&lt;0,"VALOR NEGATIVO",IF(OR(AND(TIPOORCAMENTO="Proposto",$AG61&lt;&gt;"",$AG61&gt;0,ORÇAMENTO.CustoUnitario&gt;$AG61),AND(TIPOORCAMENTO="LICITADO",ORÇAMENTO.PrecoUnitarioLicitado&gt;$AN61)),"ACIMA REF.","")))))</f>
        <v>#VALUE!</v>
      </c>
      <c r="AD61" t="e">
        <f ca="1">IF(C61&lt;=CRONO.NivelExibicao,MAX($AD$15:OFFSET(AD61,-1,0))+IF($C61&lt;&gt;1,1,MAX(1,COUNTIF([1]QCI!$A$13:$A$24,OFFSET($E61,-1,0)))),"")</f>
        <v>#VALUE!</v>
      </c>
      <c r="AE61" s="4" t="b">
        <f ca="1">IF(AND($C61="S",ORÇAMENTO.CodBarra&lt;&gt;""),IF(ORÇAMENTO.Fonte="",ORÇAMENTO.CodBarra,CONCATENATE(ORÇAMENTO.Fonte," ",ORÇAMENTO.CodBarra)))</f>
        <v>0</v>
      </c>
      <c r="AF61" s="58" t="e">
        <f ca="1">IF(ISERROR(INDIRECT(ORÇAMENTO.BancoRef)),"(abra o arquivo 'Referência "&amp;Excel_BuiltIn_Database&amp;".xls)",IF(OR($C61&lt;&gt;"S",ORÇAMENTO.CodBarra=""),"(Sem Código)",IF(ISERROR(MATCH($AE61,INDIRECT(ORÇAMENTO.BancoRef),0)),"(Código não identificado nas referências)",MATCH($AE61,INDIRECT(ORÇAMENTO.BancoRef),0))))</f>
        <v>#VALUE!</v>
      </c>
      <c r="AG61" s="59" t="e">
        <f ca="1">ROUND(IF(DESONERACAO="sim",REFERENCIA.Desonerado,REFERENCIA.NaoDesonerado),2)</f>
        <v>#VALUE!</v>
      </c>
      <c r="AH61" s="60">
        <f t="shared" si="44"/>
        <v>0.2223</v>
      </c>
      <c r="AJ61" s="61"/>
      <c r="AL61" s="62"/>
      <c r="AM61" s="63" t="e">
        <f t="shared" ca="1" si="0"/>
        <v>#VALUE!</v>
      </c>
      <c r="AN61" s="64">
        <f t="shared" si="45"/>
        <v>0</v>
      </c>
    </row>
    <row r="62" spans="1:40" ht="38.25" x14ac:dyDescent="0.2">
      <c r="A62" t="str">
        <f t="shared" si="41"/>
        <v>S</v>
      </c>
      <c r="B62">
        <f t="shared" ca="1" si="46"/>
        <v>3</v>
      </c>
      <c r="C62" t="str">
        <f t="shared" ca="1" si="47"/>
        <v>S</v>
      </c>
      <c r="D62">
        <f t="shared" ca="1" si="48"/>
        <v>0</v>
      </c>
      <c r="E62" t="e">
        <f ca="1">IF($C62=1,OFFSET(E62,-1,0)+MAX(1,COUNTIF([1]QCI!$A$13:$A$24,OFFSET('PLANILHA A LICITAR'!E62,-1,0))),OFFSET(E62,-1,0))</f>
        <v>#VALUE!</v>
      </c>
      <c r="F62">
        <f t="shared" ca="1" si="49"/>
        <v>2</v>
      </c>
      <c r="G62">
        <f t="shared" ca="1" si="50"/>
        <v>4</v>
      </c>
      <c r="H62">
        <f t="shared" ca="1" si="51"/>
        <v>0</v>
      </c>
      <c r="I62" t="e">
        <f t="shared" ca="1" si="52"/>
        <v>#VALUE!</v>
      </c>
      <c r="J62">
        <f t="shared" ca="1" si="9"/>
        <v>0</v>
      </c>
      <c r="K62">
        <f ca="1">IF(OR($C62="S",$C62=0),0,MATCH(OFFSET($D62,0,$C62)+IF($C62&lt;&gt;1,1,COUNTIF([1]QCI!$A$13:$A$24,'PLANILHA A LICITAR'!E62)),OFFSET($D62,1,$C62,ROW($C$145)-ROW($C62)),0))</f>
        <v>0</v>
      </c>
      <c r="L62" s="42" t="e">
        <f t="shared" ca="1" si="53"/>
        <v>#VALUE!</v>
      </c>
      <c r="M62" s="43" t="s">
        <v>7</v>
      </c>
      <c r="N62" s="44" t="str">
        <f t="shared" ca="1" si="54"/>
        <v>Serviço</v>
      </c>
      <c r="O62" s="45" t="e">
        <f t="shared" ca="1" si="55"/>
        <v>#VALUE!</v>
      </c>
      <c r="P62" s="46" t="s">
        <v>62</v>
      </c>
      <c r="Q62" s="47">
        <v>91341</v>
      </c>
      <c r="R62" s="48" t="s">
        <v>111</v>
      </c>
      <c r="S62" s="49" t="s">
        <v>75</v>
      </c>
      <c r="T62" s="50" t="e">
        <f ca="1">OFFSET([1]CÁLCULO!H$15,ROW($T62)-ROW(T$15),0)</f>
        <v>#VALUE!</v>
      </c>
      <c r="U62" s="51" t="e">
        <f ca="1">AG62</f>
        <v>#VALUE!</v>
      </c>
      <c r="V62" s="52" t="s">
        <v>10</v>
      </c>
      <c r="W62" s="50" t="e">
        <f ca="1">IF($C62="S",ROUND(IF(TIPOORCAMENTO="Proposto",ORÇAMENTO.CustoUnitario*(1+$AH62),ORÇAMENTO.PrecoUnitarioLicitado),15-13*$AF$10),0)</f>
        <v>#VALUE!</v>
      </c>
      <c r="X62" s="53" t="e">
        <f t="shared" ca="1" si="42"/>
        <v>#VALUE!</v>
      </c>
      <c r="Y62" s="54" t="s">
        <v>63</v>
      </c>
      <c r="Z62" t="e">
        <f t="shared" ca="1" si="56"/>
        <v>#VALUE!</v>
      </c>
      <c r="AA62" s="55" t="e">
        <f ca="1">IF($C62="S",IF($Z62="CP",$X62,IF($Z62="RA",(($X62)*[1]QCI!$AA$3),0)),SomaAgrup)</f>
        <v>#VALUE!</v>
      </c>
      <c r="AB62" s="56" t="e">
        <f t="shared" ca="1" si="43"/>
        <v>#VALUE!</v>
      </c>
      <c r="AC62" s="57" t="e">
        <f ca="1">IF($N62="","",IF(ORÇAMENTO.Descricao="","DESCRIÇÃO",IF(AND($C62="S",ORÇAMENTO.Unidade=""),"UNIDADE",IF($X62&lt;0,"VALOR NEGATIVO",IF(OR(AND(TIPOORCAMENTO="Proposto",$AG62&lt;&gt;"",$AG62&gt;0,ORÇAMENTO.CustoUnitario&gt;$AG62),AND(TIPOORCAMENTO="LICITADO",ORÇAMENTO.PrecoUnitarioLicitado&gt;$AN62)),"ACIMA REF.","")))))</f>
        <v>#VALUE!</v>
      </c>
      <c r="AD62" t="str">
        <f ca="1">IF(C62&lt;=CRONO.NivelExibicao,MAX($AD$15:OFFSET(AD62,-1,0))+IF($C62&lt;&gt;1,1,MAX(1,COUNTIF([1]QCI!$A$13:$A$24,OFFSET($E62,-1,0)))),"")</f>
        <v/>
      </c>
      <c r="AE62" s="4" t="str">
        <f ca="1">IF(AND($C62="S",ORÇAMENTO.CodBarra&lt;&gt;""),IF(ORÇAMENTO.Fonte="",ORÇAMENTO.CodBarra,CONCATENATE(ORÇAMENTO.Fonte," ",ORÇAMENTO.CodBarra)))</f>
        <v>SINAPI 91341</v>
      </c>
      <c r="AF62" s="58" t="e">
        <f ca="1">IF(ISERROR(INDIRECT(ORÇAMENTO.BancoRef)),"(abra o arquivo 'Referência "&amp;Excel_BuiltIn_Database&amp;".xls)",IF(OR($C62&lt;&gt;"S",ORÇAMENTO.CodBarra=""),"(Sem Código)",IF(ISERROR(MATCH($AE62,INDIRECT(ORÇAMENTO.BancoRef),0)),"(Código não identificado nas referências)",MATCH($AE62,INDIRECT(ORÇAMENTO.BancoRef),0))))</f>
        <v>#VALUE!</v>
      </c>
      <c r="AG62" s="59" t="e">
        <f ca="1">ROUND(IF(DESONERACAO="sim",REFERENCIA.Desonerado,REFERENCIA.NaoDesonerado),2)</f>
        <v>#VALUE!</v>
      </c>
      <c r="AH62" s="60">
        <f t="shared" si="44"/>
        <v>0.2223</v>
      </c>
      <c r="AJ62" s="61">
        <v>45.35</v>
      </c>
      <c r="AL62" s="62"/>
      <c r="AM62" s="63" t="e">
        <f t="shared" ca="1" si="0"/>
        <v>#VALUE!</v>
      </c>
      <c r="AN62" s="64" t="e">
        <f t="shared" ca="1" si="45"/>
        <v>#VALUE!</v>
      </c>
    </row>
    <row r="63" spans="1:40" ht="38.25" x14ac:dyDescent="0.2">
      <c r="A63" t="str">
        <f t="shared" si="41"/>
        <v>S</v>
      </c>
      <c r="B63">
        <f t="shared" ca="1" si="46"/>
        <v>3</v>
      </c>
      <c r="C63" t="str">
        <f t="shared" ca="1" si="47"/>
        <v>S</v>
      </c>
      <c r="D63">
        <f t="shared" ca="1" si="48"/>
        <v>0</v>
      </c>
      <c r="E63" t="e">
        <f ca="1">IF($C63=1,OFFSET(E63,-1,0)+MAX(1,COUNTIF([1]QCI!$A$13:$A$24,OFFSET('PLANILHA A LICITAR'!E63,-1,0))),OFFSET(E63,-1,0))</f>
        <v>#VALUE!</v>
      </c>
      <c r="F63">
        <f t="shared" ca="1" si="49"/>
        <v>2</v>
      </c>
      <c r="G63">
        <f t="shared" ca="1" si="50"/>
        <v>4</v>
      </c>
      <c r="H63">
        <f t="shared" ca="1" si="51"/>
        <v>0</v>
      </c>
      <c r="I63" t="e">
        <f t="shared" ca="1" si="52"/>
        <v>#VALUE!</v>
      </c>
      <c r="J63">
        <f t="shared" ca="1" si="9"/>
        <v>0</v>
      </c>
      <c r="K63">
        <f ca="1">IF(OR($C63="S",$C63=0),0,MATCH(OFFSET($D63,0,$C63)+IF($C63&lt;&gt;1,1,COUNTIF([1]QCI!$A$13:$A$24,'PLANILHA A LICITAR'!E63)),OFFSET($D63,1,$C63,ROW($C$145)-ROW($C63)),0))</f>
        <v>0</v>
      </c>
      <c r="L63" s="42" t="e">
        <f t="shared" ca="1" si="53"/>
        <v>#VALUE!</v>
      </c>
      <c r="M63" s="43" t="s">
        <v>7</v>
      </c>
      <c r="N63" s="44" t="str">
        <f t="shared" ca="1" si="54"/>
        <v>Serviço</v>
      </c>
      <c r="O63" s="45" t="e">
        <f t="shared" ca="1" si="55"/>
        <v>#VALUE!</v>
      </c>
      <c r="P63" s="46" t="s">
        <v>62</v>
      </c>
      <c r="Q63" s="47" t="s">
        <v>145</v>
      </c>
      <c r="R63" s="48" t="s">
        <v>146</v>
      </c>
      <c r="S63" s="49" t="s">
        <v>75</v>
      </c>
      <c r="T63" s="50" t="e">
        <f ca="1">OFFSET([1]CÁLCULO!H$15,ROW($T63)-ROW(T$15),0)</f>
        <v>#VALUE!</v>
      </c>
      <c r="U63" s="51">
        <v>489.68</v>
      </c>
      <c r="V63" s="52" t="s">
        <v>10</v>
      </c>
      <c r="W63" s="50">
        <f ca="1">IF($C63="S",ROUND(IF(TIPOORCAMENTO="Proposto",ORÇAMENTO.CustoUnitario*(1+$AH63),ORÇAMENTO.PrecoUnitarioLicitado),15-13*$AF$10),0)</f>
        <v>598.53586399999995</v>
      </c>
      <c r="X63" s="53" t="e">
        <f t="shared" ca="1" si="42"/>
        <v>#VALUE!</v>
      </c>
      <c r="Y63" s="54" t="s">
        <v>63</v>
      </c>
      <c r="Z63" t="e">
        <f t="shared" ca="1" si="56"/>
        <v>#VALUE!</v>
      </c>
      <c r="AA63" s="55" t="e">
        <f ca="1">IF($C63="S",IF($Z63="CP",$X63,IF($Z63="RA",(($X63)*[1]QCI!$AA$3),0)),SomaAgrup)</f>
        <v>#VALUE!</v>
      </c>
      <c r="AB63" s="56" t="e">
        <f t="shared" ca="1" si="43"/>
        <v>#VALUE!</v>
      </c>
      <c r="AC63" s="57" t="e">
        <f ca="1">IF($N63="","",IF(ORÇAMENTO.Descricao="","DESCRIÇÃO",IF(AND($C63="S",ORÇAMENTO.Unidade=""),"UNIDADE",IF($X63&lt;0,"VALOR NEGATIVO",IF(OR(AND(TIPOORCAMENTO="Proposto",$AG63&lt;&gt;"",$AG63&gt;0,ORÇAMENTO.CustoUnitario&gt;$AG63),AND(TIPOORCAMENTO="LICITADO",ORÇAMENTO.PrecoUnitarioLicitado&gt;$AN63)),"ACIMA REF.","")))))</f>
        <v>#VALUE!</v>
      </c>
      <c r="AD63" t="str">
        <f ca="1">IF(C63&lt;=CRONO.NivelExibicao,MAX($AD$15:OFFSET(AD63,-1,0))+IF($C63&lt;&gt;1,1,MAX(1,COUNTIF([1]QCI!$A$13:$A$24,OFFSET($E63,-1,0)))),"")</f>
        <v/>
      </c>
      <c r="AE63" s="4" t="str">
        <f ca="1">IF(AND($C63="S",ORÇAMENTO.CodBarra&lt;&gt;""),IF(ORÇAMENTO.Fonte="",ORÇAMENTO.CodBarra,CONCATENATE(ORÇAMENTO.Fonte," ",ORÇAMENTO.CodBarra)))</f>
        <v>SINAPI AUX2759</v>
      </c>
      <c r="AF63" s="58" t="e">
        <f ca="1">IF(ISERROR(INDIRECT(ORÇAMENTO.BancoRef)),"(abra o arquivo 'Referência "&amp;Excel_BuiltIn_Database&amp;".xls)",IF(OR($C63&lt;&gt;"S",ORÇAMENTO.CodBarra=""),"(Sem Código)",IF(ISERROR(MATCH($AE63,INDIRECT(ORÇAMENTO.BancoRef),0)),"(Código não identificado nas referências)",MATCH($AE63,INDIRECT(ORÇAMENTO.BancoRef),0))))</f>
        <v>#VALUE!</v>
      </c>
      <c r="AG63" s="59" t="e">
        <f ca="1">ROUND(IF(DESONERACAO="sim",REFERENCIA.Desonerado,REFERENCIA.NaoDesonerado),2)</f>
        <v>#VALUE!</v>
      </c>
      <c r="AH63" s="60">
        <f t="shared" si="44"/>
        <v>0.2223</v>
      </c>
      <c r="AJ63" s="61">
        <v>14.2</v>
      </c>
      <c r="AL63" s="62"/>
      <c r="AM63" s="63" t="e">
        <f t="shared" ca="1" si="0"/>
        <v>#VALUE!</v>
      </c>
      <c r="AN63" s="64">
        <f t="shared" si="45"/>
        <v>598.54</v>
      </c>
    </row>
    <row r="64" spans="1:40" ht="51" x14ac:dyDescent="0.2">
      <c r="A64" t="str">
        <f t="shared" si="41"/>
        <v>S</v>
      </c>
      <c r="B64">
        <f t="shared" ca="1" si="46"/>
        <v>3</v>
      </c>
      <c r="C64" t="str">
        <f t="shared" ca="1" si="47"/>
        <v>S</v>
      </c>
      <c r="D64">
        <f t="shared" ca="1" si="48"/>
        <v>0</v>
      </c>
      <c r="E64" t="e">
        <f ca="1">IF($C64=1,OFFSET(E64,-1,0)+MAX(1,COUNTIF([1]QCI!$A$13:$A$24,OFFSET('PLANILHA A LICITAR'!E64,-1,0))),OFFSET(E64,-1,0))</f>
        <v>#VALUE!</v>
      </c>
      <c r="F64">
        <f t="shared" ca="1" si="49"/>
        <v>2</v>
      </c>
      <c r="G64">
        <f t="shared" ca="1" si="50"/>
        <v>4</v>
      </c>
      <c r="H64">
        <f t="shared" ca="1" si="51"/>
        <v>0</v>
      </c>
      <c r="I64" t="e">
        <f t="shared" ca="1" si="52"/>
        <v>#VALUE!</v>
      </c>
      <c r="J64">
        <f t="shared" ca="1" si="9"/>
        <v>0</v>
      </c>
      <c r="K64">
        <f ca="1">IF(OR($C64="S",$C64=0),0,MATCH(OFFSET($D64,0,$C64)+IF($C64&lt;&gt;1,1,COUNTIF([1]QCI!$A$13:$A$24,'PLANILHA A LICITAR'!E64)),OFFSET($D64,1,$C64,ROW($C$145)-ROW($C64)),0))</f>
        <v>0</v>
      </c>
      <c r="L64" s="42" t="e">
        <f t="shared" ca="1" si="53"/>
        <v>#VALUE!</v>
      </c>
      <c r="M64" s="43" t="s">
        <v>7</v>
      </c>
      <c r="N64" s="44" t="str">
        <f t="shared" ca="1" si="54"/>
        <v>Serviço</v>
      </c>
      <c r="O64" s="45" t="e">
        <f t="shared" ca="1" si="55"/>
        <v>#VALUE!</v>
      </c>
      <c r="P64" s="46" t="s">
        <v>62</v>
      </c>
      <c r="Q64" s="47">
        <v>94570</v>
      </c>
      <c r="R64" s="48" t="s">
        <v>147</v>
      </c>
      <c r="S64" s="49" t="s">
        <v>75</v>
      </c>
      <c r="T64" s="50" t="e">
        <f ca="1">OFFSET([1]CÁLCULO!H$15,ROW($T64)-ROW(T$15),0)</f>
        <v>#VALUE!</v>
      </c>
      <c r="U64" s="51" t="e">
        <f t="shared" ref="U64" ca="1" si="57">AG64</f>
        <v>#VALUE!</v>
      </c>
      <c r="V64" s="52" t="s">
        <v>10</v>
      </c>
      <c r="W64" s="50" t="e">
        <f ca="1">IF($C64="S",ROUND(IF(TIPOORCAMENTO="Proposto",ORÇAMENTO.CustoUnitario*(1+$AH64),ORÇAMENTO.PrecoUnitarioLicitado),15-13*$AF$10),0)</f>
        <v>#VALUE!</v>
      </c>
      <c r="X64" s="53" t="e">
        <f t="shared" ca="1" si="42"/>
        <v>#VALUE!</v>
      </c>
      <c r="Y64" s="54" t="s">
        <v>63</v>
      </c>
      <c r="Z64" t="e">
        <f t="shared" ca="1" si="56"/>
        <v>#VALUE!</v>
      </c>
      <c r="AA64" s="55" t="e">
        <f ca="1">IF($C64="S",IF($Z64="CP",$X64,IF($Z64="RA",(($X64)*[1]QCI!$AA$3),0)),SomaAgrup)</f>
        <v>#VALUE!</v>
      </c>
      <c r="AB64" s="56" t="e">
        <f t="shared" ca="1" si="43"/>
        <v>#VALUE!</v>
      </c>
      <c r="AC64" s="57" t="e">
        <f ca="1">IF($N64="","",IF(ORÇAMENTO.Descricao="","DESCRIÇÃO",IF(AND($C64="S",ORÇAMENTO.Unidade=""),"UNIDADE",IF($X64&lt;0,"VALOR NEGATIVO",IF(OR(AND(TIPOORCAMENTO="Proposto",$AG64&lt;&gt;"",$AG64&gt;0,ORÇAMENTO.CustoUnitario&gt;$AG64),AND(TIPOORCAMENTO="LICITADO",ORÇAMENTO.PrecoUnitarioLicitado&gt;$AN64)),"ACIMA REF.","")))))</f>
        <v>#VALUE!</v>
      </c>
      <c r="AD64" t="str">
        <f ca="1">IF(C64&lt;=CRONO.NivelExibicao,MAX($AD$15:OFFSET(AD64,-1,0))+IF($C64&lt;&gt;1,1,MAX(1,COUNTIF([1]QCI!$A$13:$A$24,OFFSET($E64,-1,0)))),"")</f>
        <v/>
      </c>
      <c r="AE64" s="4" t="str">
        <f ca="1">IF(AND($C64="S",ORÇAMENTO.CodBarra&lt;&gt;""),IF(ORÇAMENTO.Fonte="",ORÇAMENTO.CodBarra,CONCATENATE(ORÇAMENTO.Fonte," ",ORÇAMENTO.CodBarra)))</f>
        <v>SINAPI 94570</v>
      </c>
      <c r="AF64" s="58" t="e">
        <f ca="1">IF(ISERROR(INDIRECT(ORÇAMENTO.BancoRef)),"(abra o arquivo 'Referência "&amp;Excel_BuiltIn_Database&amp;".xls)",IF(OR($C64&lt;&gt;"S",ORÇAMENTO.CodBarra=""),"(Sem Código)",IF(ISERROR(MATCH($AE64,INDIRECT(ORÇAMENTO.BancoRef),0)),"(Código não identificado nas referências)",MATCH($AE64,INDIRECT(ORÇAMENTO.BancoRef),0))))</f>
        <v>#VALUE!</v>
      </c>
      <c r="AG64" s="59" t="e">
        <f ca="1">ROUND(IF(DESONERACAO="sim",REFERENCIA.Desonerado,REFERENCIA.NaoDesonerado),2)</f>
        <v>#VALUE!</v>
      </c>
      <c r="AH64" s="60">
        <f t="shared" si="44"/>
        <v>0.2223</v>
      </c>
      <c r="AJ64" s="61">
        <v>9.25</v>
      </c>
      <c r="AL64" s="62"/>
      <c r="AM64" s="63" t="e">
        <f t="shared" ca="1" si="0"/>
        <v>#VALUE!</v>
      </c>
      <c r="AN64" s="64" t="e">
        <f t="shared" ca="1" si="45"/>
        <v>#VALUE!</v>
      </c>
    </row>
    <row r="65" spans="1:40" ht="25.5" x14ac:dyDescent="0.2">
      <c r="A65" t="str">
        <f>CHOOSE(1+LOG(1+2*(ORÇAMENTO.Nivel="Meta")+4*(ORÇAMENTO.Nivel="Nível 2")+8*(ORÇAMENTO.Nivel="Nível 3")+16*(ORÇAMENTO.Nivel="Nível 4")+32*(ORÇAMENTO.Nivel="Serviço"),2),0,1,2,3,4,"S")</f>
        <v>S</v>
      </c>
      <c r="B65">
        <f ca="1">IF(OR(C65="s",C65=0),OFFSET(B65,-1,0),C65)</f>
        <v>3</v>
      </c>
      <c r="C65" t="str">
        <f ca="1">IF(OFFSET(C65,-1,0)="L",1,IF(OFFSET(C65,-1,0)=1,2,IF(OR(A65="s",A65=0),"S",IF(AND(OFFSET(C65,-1,0)=2,A65=4),3,IF(AND(OR(OFFSET(C65,-1,0)="s",OFFSET(C65,-1,0)=0),A65&lt;&gt;"s",A65&gt;OFFSET(B65,-1,0)),OFFSET(B65,-1,0),A65)))))</f>
        <v>S</v>
      </c>
      <c r="D65">
        <f ca="1">IF(OR(C65="S",C65=0),0,IF(ISERROR(K65),J65,SMALL(J65:K65,1)))</f>
        <v>0</v>
      </c>
      <c r="E65" t="e">
        <f ca="1">IF($C65=1,OFFSET(E65,-1,0)+MAX(1,COUNTIF([1]QCI!$A$13:$A$24,OFFSET('PLANILHA A LICITAR'!E65,-1,0))),OFFSET(E65,-1,0))</f>
        <v>#VALUE!</v>
      </c>
      <c r="F65">
        <f ca="1">IF($C65=1,0,IF($C65=2,OFFSET(F65,-1,0)+1,OFFSET(F65,-1,0)))</f>
        <v>2</v>
      </c>
      <c r="G65">
        <f ca="1">IF(AND($C65&lt;=2,$C65&lt;&gt;0),0,IF($C65=3,OFFSET(G65,-1,0)+1,OFFSET(G65,-1,0)))</f>
        <v>4</v>
      </c>
      <c r="H65">
        <f ca="1">IF(AND($C65&lt;=3,$C65&lt;&gt;0),0,IF($C65=4,OFFSET(H65,-1,0)+1,OFFSET(H65,-1,0)))</f>
        <v>0</v>
      </c>
      <c r="I65" t="e">
        <f ca="1">IF(AND($C65&lt;=4,$C65&lt;&gt;0),0,IF(AND($C65="S",$X65&gt;0),OFFSET(I65,-1,0)+1,OFFSET(I65,-1,0)))</f>
        <v>#VALUE!</v>
      </c>
      <c r="J65">
        <f t="shared" ca="1" si="9"/>
        <v>0</v>
      </c>
      <c r="K65">
        <f ca="1">IF(OR($C65="S",$C65=0),0,MATCH(OFFSET($D65,0,$C65)+IF($C65&lt;&gt;1,1,COUNTIF([1]QCI!$A$13:$A$24,'PLANILHA A LICITAR'!E65)),OFFSET($D65,1,$C65,ROW($C$145)-ROW($C65)),0))</f>
        <v>0</v>
      </c>
      <c r="L65" s="42" t="e">
        <f ca="1">IF(OR($X65&gt;0,$C65=1,$C65=2,$C65=3,$C65=4),"F","")</f>
        <v>#VALUE!</v>
      </c>
      <c r="M65" s="43" t="s">
        <v>7</v>
      </c>
      <c r="N65" s="44" t="str">
        <f ca="1">CHOOSE(1+LOG(1+2*(C65=1)+4*(C65=2)+8*(C65=3)+16*(C65=4)+32*(C65="S"),2),"","Meta","Nível 2","Nível 3","Nível 4","Serviço")</f>
        <v>Serviço</v>
      </c>
      <c r="O65" s="45" t="e">
        <f ca="1">IF(OR($C65=0,$L65=""),"-",CONCATENATE(E65&amp;".",IF(AND($A$5&gt;=2,$C65&gt;=2),F65&amp;".",""),IF(AND($A$5&gt;=3,$C65&gt;=3),G65&amp;".",""),IF(AND($A$5&gt;=4,$C65&gt;=4),H65&amp;".",""),IF($C65="S",I65&amp;".","")))</f>
        <v>#VALUE!</v>
      </c>
      <c r="P65" s="46" t="s">
        <v>62</v>
      </c>
      <c r="Q65" s="47" t="s">
        <v>148</v>
      </c>
      <c r="R65" s="48" t="s">
        <v>149</v>
      </c>
      <c r="S65" s="49" t="s">
        <v>75</v>
      </c>
      <c r="T65" s="50" t="e">
        <f ca="1">OFFSET([1]CÁLCULO!H$15,ROW($T65)-ROW(T$15),0)</f>
        <v>#VALUE!</v>
      </c>
      <c r="U65" s="51" t="e">
        <f ca="1">AG65</f>
        <v>#VALUE!</v>
      </c>
      <c r="V65" s="52" t="s">
        <v>10</v>
      </c>
      <c r="W65" s="50" t="e">
        <f ca="1">IF($C65="S",ROUND(IF(TIPOORCAMENTO="Proposto",ORÇAMENTO.CustoUnitario*(1+$AH65),ORÇAMENTO.PrecoUnitarioLicitado),15-13*$AF$10),0)</f>
        <v>#VALUE!</v>
      </c>
      <c r="X65" s="53" t="e">
        <f ca="1">IF($C65="S",VTOTAL1,IF($C65=0,0,ROUND(SomaAgrup,15-13*$AF$11)))</f>
        <v>#VALUE!</v>
      </c>
      <c r="Y65" s="54" t="s">
        <v>63</v>
      </c>
      <c r="Z65" t="e">
        <f ca="1">IF(AND($C65="S",$X65&gt;0),IF(ISBLANK($Y65),"RA",LEFT($Y65,2)),"")</f>
        <v>#VALUE!</v>
      </c>
      <c r="AA65" s="55" t="e">
        <f ca="1">IF($C65="S",IF($Z65="CP",$X65,IF($Z65="RA",(($X65)*[1]QCI!$AA$3),0)),SomaAgrup)</f>
        <v>#VALUE!</v>
      </c>
      <c r="AB65" s="56" t="e">
        <f ca="1">IF($C65="S",IF($Z65="OU",ROUND($X65,2),0),SomaAgrup)</f>
        <v>#VALUE!</v>
      </c>
      <c r="AC65" s="57" t="e">
        <f ca="1">IF($N65="","",IF(ORÇAMENTO.Descricao="","DESCRIÇÃO",IF(AND($C65="S",ORÇAMENTO.Unidade=""),"UNIDADE",IF($X65&lt;0,"VALOR NEGATIVO",IF(OR(AND(TIPOORCAMENTO="Proposto",$AG65&lt;&gt;"",$AG65&gt;0,ORÇAMENTO.CustoUnitario&gt;$AG65),AND(TIPOORCAMENTO="LICITADO",ORÇAMENTO.PrecoUnitarioLicitado&gt;$AN65)),"ACIMA REF.","")))))</f>
        <v>#VALUE!</v>
      </c>
      <c r="AD65" t="str">
        <f ca="1">IF(C65&lt;=CRONO.NivelExibicao,MAX($AD$15:OFFSET(AD65,-1,0))+IF($C65&lt;&gt;1,1,MAX(1,COUNTIF([1]QCI!$A$13:$A$24,OFFSET($E65,-1,0)))),"")</f>
        <v/>
      </c>
      <c r="AE65" s="4" t="str">
        <f ca="1">IF(AND($C65="S",ORÇAMENTO.CodBarra&lt;&gt;""),IF(ORÇAMENTO.Fonte="",ORÇAMENTO.CodBarra,CONCATENATE(ORÇAMENTO.Fonte," ",ORÇAMENTO.CodBarra)))</f>
        <v>SINAPI 102176</v>
      </c>
      <c r="AF65" s="58" t="e">
        <f ca="1">IF(ISERROR(INDIRECT(ORÇAMENTO.BancoRef)),"(abra o arquivo 'Referência "&amp;Excel_BuiltIn_Database&amp;".xls)",IF(OR($C65&lt;&gt;"S",ORÇAMENTO.CodBarra=""),"(Sem Código)",IF(ISERROR(MATCH($AE65,INDIRECT(ORÇAMENTO.BancoRef),0)),"(Código não identificado nas referências)",MATCH($AE65,INDIRECT(ORÇAMENTO.BancoRef),0))))</f>
        <v>#VALUE!</v>
      </c>
      <c r="AG65" s="59" t="e">
        <f ca="1">ROUND(IF(DESONERACAO="sim",REFERENCIA.Desonerado,REFERENCIA.NaoDesonerado),2)</f>
        <v>#VALUE!</v>
      </c>
      <c r="AH65" s="60">
        <f>ROUND(IF(ISNUMBER(ORÇAMENTO.OpcaoBDI),ORÇAMENTO.OpcaoBDI,IF(LEFT(ORÇAMENTO.OpcaoBDI,3)="BDI",HLOOKUP(ORÇAMENTO.OpcaoBDI,$F$4:$H$5,2,FALSE),0)),15-11*$AF$9)</f>
        <v>0.2223</v>
      </c>
      <c r="AJ65" s="61">
        <v>13.37</v>
      </c>
      <c r="AL65" s="62"/>
      <c r="AM65" s="63" t="e">
        <f t="shared" ca="1" si="0"/>
        <v>#VALUE!</v>
      </c>
      <c r="AN65" s="64" t="e">
        <f ca="1">ROUND(ORÇAMENTO.CustoUnitario*(1+$AH65),2)</f>
        <v>#VALUE!</v>
      </c>
    </row>
    <row r="66" spans="1:40" x14ac:dyDescent="0.2">
      <c r="A66">
        <f t="shared" si="41"/>
        <v>3</v>
      </c>
      <c r="B66">
        <f t="shared" ca="1" si="46"/>
        <v>3</v>
      </c>
      <c r="C66">
        <f t="shared" ca="1" si="47"/>
        <v>3</v>
      </c>
      <c r="D66">
        <f t="shared" ca="1" si="48"/>
        <v>19</v>
      </c>
      <c r="E66" t="e">
        <f ca="1">IF($C66=1,OFFSET(E66,-1,0)+MAX(1,COUNTIF([1]QCI!$A$13:$A$24,OFFSET('PLANILHA A LICITAR'!E66,-1,0))),OFFSET(E66,-1,0))</f>
        <v>#VALUE!</v>
      </c>
      <c r="F66">
        <f t="shared" ca="1" si="49"/>
        <v>2</v>
      </c>
      <c r="G66">
        <f t="shared" ca="1" si="50"/>
        <v>5</v>
      </c>
      <c r="H66">
        <f t="shared" ca="1" si="51"/>
        <v>0</v>
      </c>
      <c r="I66">
        <f t="shared" ca="1" si="52"/>
        <v>0</v>
      </c>
      <c r="J66">
        <f t="shared" ca="1" si="9"/>
        <v>79</v>
      </c>
      <c r="K66">
        <f ca="1">IF(OR($C66="S",$C66=0),0,MATCH(OFFSET($D66,0,$C66)+IF($C66&lt;&gt;1,1,COUNTIF([1]QCI!$A$13:$A$24,'PLANILHA A LICITAR'!E66)),OFFSET($D66,1,$C66,ROW($C$145)-ROW($C66)),0))</f>
        <v>19</v>
      </c>
      <c r="L66" s="42" t="e">
        <f t="shared" ca="1" si="53"/>
        <v>#VALUE!</v>
      </c>
      <c r="M66" s="43" t="s">
        <v>5</v>
      </c>
      <c r="N66" s="44" t="str">
        <f t="shared" ca="1" si="54"/>
        <v>Nível 3</v>
      </c>
      <c r="O66" s="45" t="e">
        <f t="shared" ca="1" si="55"/>
        <v>#VALUE!</v>
      </c>
      <c r="P66" s="46" t="s">
        <v>62</v>
      </c>
      <c r="Q66" s="47"/>
      <c r="R66" s="48" t="s">
        <v>150</v>
      </c>
      <c r="S66" s="49" t="s">
        <v>67</v>
      </c>
      <c r="T66" s="50" t="e">
        <f ca="1">OFFSET([1]CÁLCULO!H$15,ROW($T66)-ROW(T$15),0)</f>
        <v>#VALUE!</v>
      </c>
      <c r="U66" s="51"/>
      <c r="V66" s="52" t="s">
        <v>10</v>
      </c>
      <c r="W66" s="50">
        <f ca="1">IF($C66="S",ROUND(IF(TIPOORCAMENTO="Proposto",ORÇAMENTO.CustoUnitario*(1+$AH66),ORÇAMENTO.PrecoUnitarioLicitado),15-13*$AF$10),0)</f>
        <v>0</v>
      </c>
      <c r="X66" s="53" t="e">
        <f t="shared" ca="1" si="42"/>
        <v>#VALUE!</v>
      </c>
      <c r="Y66" s="54" t="s">
        <v>63</v>
      </c>
      <c r="Z66" t="e">
        <f t="shared" ca="1" si="56"/>
        <v>#VALUE!</v>
      </c>
      <c r="AA66" s="55" t="e">
        <f ca="1">IF($C66="S",IF($Z66="CP",$X66,IF($Z66="RA",(($X66)*[1]QCI!$AA$3),0)),SomaAgrup)</f>
        <v>#VALUE!</v>
      </c>
      <c r="AB66" s="56" t="e">
        <f t="shared" ca="1" si="43"/>
        <v>#VALUE!</v>
      </c>
      <c r="AC66" s="57" t="e">
        <f ca="1">IF($N66="","",IF(ORÇAMENTO.Descricao="","DESCRIÇÃO",IF(AND($C66="S",ORÇAMENTO.Unidade=""),"UNIDADE",IF($X66&lt;0,"VALOR NEGATIVO",IF(OR(AND(TIPOORCAMENTO="Proposto",$AG66&lt;&gt;"",$AG66&gt;0,ORÇAMENTO.CustoUnitario&gt;$AG66),AND(TIPOORCAMENTO="LICITADO",ORÇAMENTO.PrecoUnitarioLicitado&gt;$AN66)),"ACIMA REF.","")))))</f>
        <v>#VALUE!</v>
      </c>
      <c r="AD66" t="e">
        <f ca="1">IF(C66&lt;=CRONO.NivelExibicao,MAX($AD$15:OFFSET(AD66,-1,0))+IF($C66&lt;&gt;1,1,MAX(1,COUNTIF([1]QCI!$A$13:$A$24,OFFSET($E66,-1,0)))),"")</f>
        <v>#VALUE!</v>
      </c>
      <c r="AE66" s="4" t="b">
        <f ca="1">IF(AND($C66="S",ORÇAMENTO.CodBarra&lt;&gt;""),IF(ORÇAMENTO.Fonte="",ORÇAMENTO.CodBarra,CONCATENATE(ORÇAMENTO.Fonte," ",ORÇAMENTO.CodBarra)))</f>
        <v>0</v>
      </c>
      <c r="AF66" s="58" t="e">
        <f ca="1">IF(ISERROR(INDIRECT(ORÇAMENTO.BancoRef)),"(abra o arquivo 'Referência "&amp;Excel_BuiltIn_Database&amp;".xls)",IF(OR($C66&lt;&gt;"S",ORÇAMENTO.CodBarra=""),"(Sem Código)",IF(ISERROR(MATCH($AE66,INDIRECT(ORÇAMENTO.BancoRef),0)),"(Código não identificado nas referências)",MATCH($AE66,INDIRECT(ORÇAMENTO.BancoRef),0))))</f>
        <v>#VALUE!</v>
      </c>
      <c r="AG66" s="59" t="e">
        <f ca="1">ROUND(IF(DESONERACAO="sim",REFERENCIA.Desonerado,REFERENCIA.NaoDesonerado),2)</f>
        <v>#VALUE!</v>
      </c>
      <c r="AH66" s="60">
        <f t="shared" si="44"/>
        <v>0.2223</v>
      </c>
      <c r="AJ66" s="61"/>
      <c r="AL66" s="62"/>
      <c r="AM66" s="63" t="e">
        <f t="shared" ca="1" si="0"/>
        <v>#VALUE!</v>
      </c>
      <c r="AN66" s="64">
        <f t="shared" si="45"/>
        <v>0</v>
      </c>
    </row>
    <row r="67" spans="1:40" x14ac:dyDescent="0.2">
      <c r="A67">
        <f t="shared" si="41"/>
        <v>4</v>
      </c>
      <c r="B67">
        <f t="shared" ca="1" si="46"/>
        <v>4</v>
      </c>
      <c r="C67">
        <f t="shared" ca="1" si="47"/>
        <v>4</v>
      </c>
      <c r="D67">
        <f t="shared" ca="1" si="48"/>
        <v>5</v>
      </c>
      <c r="E67" t="e">
        <f ca="1">IF($C67=1,OFFSET(E67,-1,0)+MAX(1,COUNTIF([1]QCI!$A$13:$A$24,OFFSET('PLANILHA A LICITAR'!E67,-1,0))),OFFSET(E67,-1,0))</f>
        <v>#VALUE!</v>
      </c>
      <c r="F67">
        <f t="shared" ca="1" si="49"/>
        <v>2</v>
      </c>
      <c r="G67">
        <f t="shared" ca="1" si="50"/>
        <v>5</v>
      </c>
      <c r="H67">
        <f t="shared" ca="1" si="51"/>
        <v>1</v>
      </c>
      <c r="I67">
        <f t="shared" ca="1" si="52"/>
        <v>0</v>
      </c>
      <c r="J67">
        <f t="shared" ca="1" si="9"/>
        <v>18</v>
      </c>
      <c r="K67">
        <f ca="1">IF(OR($C67="S",$C67=0),0,MATCH(OFFSET($D67,0,$C67)+IF($C67&lt;&gt;1,1,COUNTIF([1]QCI!$A$13:$A$24,'PLANILHA A LICITAR'!E67)),OFFSET($D67,1,$C67,ROW($C$145)-ROW($C67)),0))</f>
        <v>5</v>
      </c>
      <c r="L67" s="42" t="e">
        <f t="shared" ca="1" si="53"/>
        <v>#VALUE!</v>
      </c>
      <c r="M67" s="43" t="s">
        <v>6</v>
      </c>
      <c r="N67" s="44" t="str">
        <f t="shared" ca="1" si="54"/>
        <v>Nível 4</v>
      </c>
      <c r="O67" s="45" t="e">
        <f t="shared" ca="1" si="55"/>
        <v>#VALUE!</v>
      </c>
      <c r="P67" s="46" t="s">
        <v>62</v>
      </c>
      <c r="Q67" s="47"/>
      <c r="R67" s="48" t="s">
        <v>120</v>
      </c>
      <c r="S67" s="49" t="s">
        <v>67</v>
      </c>
      <c r="T67" s="50" t="e">
        <f ca="1">OFFSET([1]CÁLCULO!H$15,ROW($T67)-ROW(T$15),0)</f>
        <v>#VALUE!</v>
      </c>
      <c r="U67" s="51"/>
      <c r="V67" s="52" t="s">
        <v>10</v>
      </c>
      <c r="W67" s="50">
        <f ca="1">IF($C67="S",ROUND(IF(TIPOORCAMENTO="Proposto",ORÇAMENTO.CustoUnitario*(1+$AH67),ORÇAMENTO.PrecoUnitarioLicitado),15-13*$AF$10),0)</f>
        <v>0</v>
      </c>
      <c r="X67" s="53" t="e">
        <f t="shared" ca="1" si="42"/>
        <v>#VALUE!</v>
      </c>
      <c r="Y67" s="54" t="s">
        <v>63</v>
      </c>
      <c r="Z67" t="e">
        <f t="shared" ca="1" si="56"/>
        <v>#VALUE!</v>
      </c>
      <c r="AA67" s="55" t="e">
        <f ca="1">IF($C67="S",IF($Z67="CP",$X67,IF($Z67="RA",(($X67)*[1]QCI!$AA$3),0)),SomaAgrup)</f>
        <v>#VALUE!</v>
      </c>
      <c r="AB67" s="56" t="e">
        <f t="shared" ca="1" si="43"/>
        <v>#VALUE!</v>
      </c>
      <c r="AC67" s="57" t="e">
        <f ca="1">IF($N67="","",IF(ORÇAMENTO.Descricao="","DESCRIÇÃO",IF(AND($C67="S",ORÇAMENTO.Unidade=""),"UNIDADE",IF($X67&lt;0,"VALOR NEGATIVO",IF(OR(AND(TIPOORCAMENTO="Proposto",$AG67&lt;&gt;"",$AG67&gt;0,ORÇAMENTO.CustoUnitario&gt;$AG67),AND(TIPOORCAMENTO="LICITADO",ORÇAMENTO.PrecoUnitarioLicitado&gt;$AN67)),"ACIMA REF.","")))))</f>
        <v>#VALUE!</v>
      </c>
      <c r="AD67" t="str">
        <f ca="1">IF(C67&lt;=CRONO.NivelExibicao,MAX($AD$15:OFFSET(AD67,-1,0))+IF($C67&lt;&gt;1,1,MAX(1,COUNTIF([1]QCI!$A$13:$A$24,OFFSET($E67,-1,0)))),"")</f>
        <v/>
      </c>
      <c r="AE67" s="4" t="b">
        <f ca="1">IF(AND($C67="S",ORÇAMENTO.CodBarra&lt;&gt;""),IF(ORÇAMENTO.Fonte="",ORÇAMENTO.CodBarra,CONCATENATE(ORÇAMENTO.Fonte," ",ORÇAMENTO.CodBarra)))</f>
        <v>0</v>
      </c>
      <c r="AF67" s="58" t="e">
        <f ca="1">IF(ISERROR(INDIRECT(ORÇAMENTO.BancoRef)),"(abra o arquivo 'Referência "&amp;Excel_BuiltIn_Database&amp;".xls)",IF(OR($C67&lt;&gt;"S",ORÇAMENTO.CodBarra=""),"(Sem Código)",IF(ISERROR(MATCH($AE67,INDIRECT(ORÇAMENTO.BancoRef),0)),"(Código não identificado nas referências)",MATCH($AE67,INDIRECT(ORÇAMENTO.BancoRef),0))))</f>
        <v>#VALUE!</v>
      </c>
      <c r="AG67" s="59" t="e">
        <f ca="1">ROUND(IF(DESONERACAO="sim",REFERENCIA.Desonerado,REFERENCIA.NaoDesonerado),2)</f>
        <v>#VALUE!</v>
      </c>
      <c r="AH67" s="60">
        <f t="shared" si="44"/>
        <v>0.2223</v>
      </c>
      <c r="AJ67" s="61"/>
      <c r="AL67" s="62"/>
      <c r="AM67" s="63" t="e">
        <f t="shared" ca="1" si="0"/>
        <v>#VALUE!</v>
      </c>
      <c r="AN67" s="64">
        <f t="shared" si="45"/>
        <v>0</v>
      </c>
    </row>
    <row r="68" spans="1:40" ht="25.5" x14ac:dyDescent="0.2">
      <c r="A68" t="str">
        <f t="shared" si="41"/>
        <v>S</v>
      </c>
      <c r="B68">
        <f t="shared" ca="1" si="46"/>
        <v>4</v>
      </c>
      <c r="C68" t="str">
        <f t="shared" ca="1" si="47"/>
        <v>S</v>
      </c>
      <c r="D68">
        <f t="shared" ca="1" si="48"/>
        <v>0</v>
      </c>
      <c r="E68" t="e">
        <f ca="1">IF($C68=1,OFFSET(E68,-1,0)+MAX(1,COUNTIF([1]QCI!$A$13:$A$24,OFFSET('PLANILHA A LICITAR'!E68,-1,0))),OFFSET(E68,-1,0))</f>
        <v>#VALUE!</v>
      </c>
      <c r="F68">
        <f t="shared" ca="1" si="49"/>
        <v>2</v>
      </c>
      <c r="G68">
        <f t="shared" ca="1" si="50"/>
        <v>5</v>
      </c>
      <c r="H68">
        <f t="shared" ca="1" si="51"/>
        <v>1</v>
      </c>
      <c r="I68" t="e">
        <f t="shared" ca="1" si="52"/>
        <v>#VALUE!</v>
      </c>
      <c r="J68">
        <f t="shared" ca="1" si="9"/>
        <v>0</v>
      </c>
      <c r="K68">
        <f ca="1">IF(OR($C68="S",$C68=0),0,MATCH(OFFSET($D68,0,$C68)+IF($C68&lt;&gt;1,1,COUNTIF([1]QCI!$A$13:$A$24,'PLANILHA A LICITAR'!E68)),OFFSET($D68,1,$C68,ROW($C$145)-ROW($C68)),0))</f>
        <v>0</v>
      </c>
      <c r="L68" s="42" t="e">
        <f t="shared" ca="1" si="53"/>
        <v>#VALUE!</v>
      </c>
      <c r="M68" s="43" t="s">
        <v>7</v>
      </c>
      <c r="N68" s="44" t="str">
        <f t="shared" ca="1" si="54"/>
        <v>Serviço</v>
      </c>
      <c r="O68" s="45" t="e">
        <f t="shared" ca="1" si="55"/>
        <v>#VALUE!</v>
      </c>
      <c r="P68" s="46" t="s">
        <v>62</v>
      </c>
      <c r="Q68" s="47" t="s">
        <v>132</v>
      </c>
      <c r="R68" s="48" t="s">
        <v>133</v>
      </c>
      <c r="S68" s="49" t="s">
        <v>131</v>
      </c>
      <c r="T68" s="50" t="e">
        <f ca="1">OFFSET([1]CÁLCULO!H$15,ROW($T68)-ROW(T$15),0)</f>
        <v>#VALUE!</v>
      </c>
      <c r="U68" s="51" t="e">
        <f t="shared" ref="U68:U81" ca="1" si="58">AG68</f>
        <v>#VALUE!</v>
      </c>
      <c r="V68" s="52" t="s">
        <v>10</v>
      </c>
      <c r="W68" s="50" t="e">
        <f ca="1">IF($C68="S",ROUND(IF(TIPOORCAMENTO="Proposto",ORÇAMENTO.CustoUnitario*(1+$AH68),ORÇAMENTO.PrecoUnitarioLicitado),15-13*$AF$10),0)</f>
        <v>#VALUE!</v>
      </c>
      <c r="X68" s="53" t="e">
        <f t="shared" ca="1" si="42"/>
        <v>#VALUE!</v>
      </c>
      <c r="Y68" s="54" t="s">
        <v>63</v>
      </c>
      <c r="Z68" t="e">
        <f t="shared" ca="1" si="56"/>
        <v>#VALUE!</v>
      </c>
      <c r="AA68" s="55" t="e">
        <f ca="1">IF($C68="S",IF($Z68="CP",$X68,IF($Z68="RA",(($X68)*[1]QCI!$AA$3),0)),SomaAgrup)</f>
        <v>#VALUE!</v>
      </c>
      <c r="AB68" s="56" t="e">
        <f t="shared" ca="1" si="43"/>
        <v>#VALUE!</v>
      </c>
      <c r="AC68" s="57" t="e">
        <f ca="1">IF($N68="","",IF(ORÇAMENTO.Descricao="","DESCRIÇÃO",IF(AND($C68="S",ORÇAMENTO.Unidade=""),"UNIDADE",IF($X68&lt;0,"VALOR NEGATIVO",IF(OR(AND(TIPOORCAMENTO="Proposto",$AG68&lt;&gt;"",$AG68&gt;0,ORÇAMENTO.CustoUnitario&gt;$AG68),AND(TIPOORCAMENTO="LICITADO",ORÇAMENTO.PrecoUnitarioLicitado&gt;$AN68)),"ACIMA REF.","")))))</f>
        <v>#VALUE!</v>
      </c>
      <c r="AD68" t="str">
        <f ca="1">IF(C68&lt;=CRONO.NivelExibicao,MAX($AD$15:OFFSET(AD68,-1,0))+IF($C68&lt;&gt;1,1,MAX(1,COUNTIF([1]QCI!$A$13:$A$24,OFFSET($E68,-1,0)))),"")</f>
        <v/>
      </c>
      <c r="AE68" s="4" t="str">
        <f ca="1">IF(AND($C68="S",ORÇAMENTO.CodBarra&lt;&gt;""),IF(ORÇAMENTO.Fonte="",ORÇAMENTO.CodBarra,CONCATENATE(ORÇAMENTO.Fonte," ",ORÇAMENTO.CodBarra)))</f>
        <v>SINAPI 96545</v>
      </c>
      <c r="AF68" s="58" t="e">
        <f ca="1">IF(ISERROR(INDIRECT(ORÇAMENTO.BancoRef)),"(abra o arquivo 'Referência "&amp;Excel_BuiltIn_Database&amp;".xls)",IF(OR($C68&lt;&gt;"S",ORÇAMENTO.CodBarra=""),"(Sem Código)",IF(ISERROR(MATCH($AE68,INDIRECT(ORÇAMENTO.BancoRef),0)),"(Código não identificado nas referências)",MATCH($AE68,INDIRECT(ORÇAMENTO.BancoRef),0))))</f>
        <v>#VALUE!</v>
      </c>
      <c r="AG68" s="59" t="e">
        <f ca="1">ROUND(IF(DESONERACAO="sim",REFERENCIA.Desonerado,REFERENCIA.NaoDesonerado),2)</f>
        <v>#VALUE!</v>
      </c>
      <c r="AH68" s="60">
        <f t="shared" si="44"/>
        <v>0.2223</v>
      </c>
      <c r="AJ68" s="61">
        <v>341.28</v>
      </c>
      <c r="AL68" s="62"/>
      <c r="AM68" s="63" t="e">
        <f t="shared" ca="1" si="0"/>
        <v>#VALUE!</v>
      </c>
      <c r="AN68" s="64" t="e">
        <f t="shared" ca="1" si="45"/>
        <v>#VALUE!</v>
      </c>
    </row>
    <row r="69" spans="1:40" ht="25.5" x14ac:dyDescent="0.2">
      <c r="A69" t="str">
        <f t="shared" si="41"/>
        <v>S</v>
      </c>
      <c r="B69">
        <f t="shared" ca="1" si="46"/>
        <v>4</v>
      </c>
      <c r="C69" t="str">
        <f t="shared" ca="1" si="47"/>
        <v>S</v>
      </c>
      <c r="D69">
        <f t="shared" ca="1" si="48"/>
        <v>0</v>
      </c>
      <c r="E69" t="e">
        <f ca="1">IF($C69=1,OFFSET(E69,-1,0)+MAX(1,COUNTIF([1]QCI!$A$13:$A$24,OFFSET('PLANILHA A LICITAR'!E69,-1,0))),OFFSET(E69,-1,0))</f>
        <v>#VALUE!</v>
      </c>
      <c r="F69">
        <f t="shared" ca="1" si="49"/>
        <v>2</v>
      </c>
      <c r="G69">
        <f t="shared" ca="1" si="50"/>
        <v>5</v>
      </c>
      <c r="H69">
        <f t="shared" ca="1" si="51"/>
        <v>1</v>
      </c>
      <c r="I69" t="e">
        <f t="shared" ca="1" si="52"/>
        <v>#VALUE!</v>
      </c>
      <c r="J69">
        <f t="shared" ca="1" si="9"/>
        <v>0</v>
      </c>
      <c r="K69">
        <f ca="1">IF(OR($C69="S",$C69=0),0,MATCH(OFFSET($D69,0,$C69)+IF($C69&lt;&gt;1,1,COUNTIF([1]QCI!$A$13:$A$24,'PLANILHA A LICITAR'!E69)),OFFSET($D69,1,$C69,ROW($C$145)-ROW($C69)),0))</f>
        <v>0</v>
      </c>
      <c r="L69" s="42" t="e">
        <f t="shared" ca="1" si="53"/>
        <v>#VALUE!</v>
      </c>
      <c r="M69" s="43" t="s">
        <v>7</v>
      </c>
      <c r="N69" s="44" t="str">
        <f t="shared" ca="1" si="54"/>
        <v>Serviço</v>
      </c>
      <c r="O69" s="45" t="e">
        <f t="shared" ca="1" si="55"/>
        <v>#VALUE!</v>
      </c>
      <c r="P69" s="46" t="s">
        <v>62</v>
      </c>
      <c r="Q69" s="47" t="s">
        <v>129</v>
      </c>
      <c r="R69" s="48" t="s">
        <v>130</v>
      </c>
      <c r="S69" s="49" t="s">
        <v>131</v>
      </c>
      <c r="T69" s="50" t="e">
        <f ca="1">OFFSET([1]CÁLCULO!H$15,ROW($T69)-ROW(T$15),0)</f>
        <v>#VALUE!</v>
      </c>
      <c r="U69" s="51" t="e">
        <f t="shared" ca="1" si="58"/>
        <v>#VALUE!</v>
      </c>
      <c r="V69" s="52" t="s">
        <v>10</v>
      </c>
      <c r="W69" s="50" t="e">
        <f ca="1">IF($C69="S",ROUND(IF(TIPOORCAMENTO="Proposto",ORÇAMENTO.CustoUnitario*(1+$AH69),ORÇAMENTO.PrecoUnitarioLicitado),15-13*$AF$10),0)</f>
        <v>#VALUE!</v>
      </c>
      <c r="X69" s="53" t="e">
        <f t="shared" ca="1" si="42"/>
        <v>#VALUE!</v>
      </c>
      <c r="Y69" s="54" t="s">
        <v>63</v>
      </c>
      <c r="Z69" t="e">
        <f t="shared" ca="1" si="56"/>
        <v>#VALUE!</v>
      </c>
      <c r="AA69" s="55" t="e">
        <f ca="1">IF($C69="S",IF($Z69="CP",$X69,IF($Z69="RA",(($X69)*[1]QCI!$AA$3),0)),SomaAgrup)</f>
        <v>#VALUE!</v>
      </c>
      <c r="AB69" s="56" t="e">
        <f t="shared" ca="1" si="43"/>
        <v>#VALUE!</v>
      </c>
      <c r="AC69" s="57" t="e">
        <f ca="1">IF($N69="","",IF(ORÇAMENTO.Descricao="","DESCRIÇÃO",IF(AND($C69="S",ORÇAMENTO.Unidade=""),"UNIDADE",IF($X69&lt;0,"VALOR NEGATIVO",IF(OR(AND(TIPOORCAMENTO="Proposto",$AG69&lt;&gt;"",$AG69&gt;0,ORÇAMENTO.CustoUnitario&gt;$AG69),AND(TIPOORCAMENTO="LICITADO",ORÇAMENTO.PrecoUnitarioLicitado&gt;$AN69)),"ACIMA REF.","")))))</f>
        <v>#VALUE!</v>
      </c>
      <c r="AD69" t="str">
        <f ca="1">IF(C69&lt;=CRONO.NivelExibicao,MAX($AD$15:OFFSET(AD69,-1,0))+IF($C69&lt;&gt;1,1,MAX(1,COUNTIF([1]QCI!$A$13:$A$24,OFFSET($E69,-1,0)))),"")</f>
        <v/>
      </c>
      <c r="AE69" s="4" t="str">
        <f ca="1">IF(AND($C69="S",ORÇAMENTO.CodBarra&lt;&gt;""),IF(ORÇAMENTO.Fonte="",ORÇAMENTO.CodBarra,CONCATENATE(ORÇAMENTO.Fonte," ",ORÇAMENTO.CodBarra)))</f>
        <v>SINAPI 96543</v>
      </c>
      <c r="AF69" s="58" t="e">
        <f ca="1">IF(ISERROR(INDIRECT(ORÇAMENTO.BancoRef)),"(abra o arquivo 'Referência "&amp;Excel_BuiltIn_Database&amp;".xls)",IF(OR($C69&lt;&gt;"S",ORÇAMENTO.CodBarra=""),"(Sem Código)",IF(ISERROR(MATCH($AE69,INDIRECT(ORÇAMENTO.BancoRef),0)),"(Código não identificado nas referências)",MATCH($AE69,INDIRECT(ORÇAMENTO.BancoRef),0))))</f>
        <v>#VALUE!</v>
      </c>
      <c r="AG69" s="59" t="e">
        <f ca="1">ROUND(IF(DESONERACAO="sim",REFERENCIA.Desonerado,REFERENCIA.NaoDesonerado),2)</f>
        <v>#VALUE!</v>
      </c>
      <c r="AH69" s="60">
        <f t="shared" si="44"/>
        <v>0.2223</v>
      </c>
      <c r="AJ69" s="61">
        <v>301.76</v>
      </c>
      <c r="AL69" s="62"/>
      <c r="AM69" s="63" t="e">
        <f t="shared" ca="1" si="0"/>
        <v>#VALUE!</v>
      </c>
      <c r="AN69" s="64" t="e">
        <f t="shared" ca="1" si="45"/>
        <v>#VALUE!</v>
      </c>
    </row>
    <row r="70" spans="1:40" ht="38.25" x14ac:dyDescent="0.2">
      <c r="A70" t="str">
        <f t="shared" si="41"/>
        <v>S</v>
      </c>
      <c r="B70">
        <f t="shared" ca="1" si="46"/>
        <v>4</v>
      </c>
      <c r="C70" t="str">
        <f t="shared" ca="1" si="47"/>
        <v>S</v>
      </c>
      <c r="D70">
        <f t="shared" ca="1" si="48"/>
        <v>0</v>
      </c>
      <c r="E70" t="e">
        <f ca="1">IF($C70=1,OFFSET(E70,-1,0)+MAX(1,COUNTIF([1]QCI!$A$13:$A$24,OFFSET('PLANILHA A LICITAR'!E70,-1,0))),OFFSET(E70,-1,0))</f>
        <v>#VALUE!</v>
      </c>
      <c r="F70">
        <f t="shared" ca="1" si="49"/>
        <v>2</v>
      </c>
      <c r="G70">
        <f t="shared" ca="1" si="50"/>
        <v>5</v>
      </c>
      <c r="H70">
        <f t="shared" ca="1" si="51"/>
        <v>1</v>
      </c>
      <c r="I70" t="e">
        <f t="shared" ca="1" si="52"/>
        <v>#VALUE!</v>
      </c>
      <c r="J70">
        <f t="shared" ca="1" si="9"/>
        <v>0</v>
      </c>
      <c r="K70">
        <f ca="1">IF(OR($C70="S",$C70=0),0,MATCH(OFFSET($D70,0,$C70)+IF($C70&lt;&gt;1,1,COUNTIF([1]QCI!$A$13:$A$24,'PLANILHA A LICITAR'!E70)),OFFSET($D70,1,$C70,ROW($C$145)-ROW($C70)),0))</f>
        <v>0</v>
      </c>
      <c r="L70" s="42" t="e">
        <f t="shared" ca="1" si="53"/>
        <v>#VALUE!</v>
      </c>
      <c r="M70" s="43" t="s">
        <v>7</v>
      </c>
      <c r="N70" s="44" t="str">
        <f t="shared" ca="1" si="54"/>
        <v>Serviço</v>
      </c>
      <c r="O70" s="45" t="e">
        <f t="shared" ca="1" si="55"/>
        <v>#VALUE!</v>
      </c>
      <c r="P70" s="46" t="s">
        <v>62</v>
      </c>
      <c r="Q70" s="47" t="s">
        <v>151</v>
      </c>
      <c r="R70" s="48" t="s">
        <v>152</v>
      </c>
      <c r="S70" s="49" t="s">
        <v>75</v>
      </c>
      <c r="T70" s="50" t="e">
        <f ca="1">OFFSET([1]CÁLCULO!H$15,ROW($T70)-ROW(T$15),0)</f>
        <v>#VALUE!</v>
      </c>
      <c r="U70" s="51" t="e">
        <f t="shared" ca="1" si="58"/>
        <v>#VALUE!</v>
      </c>
      <c r="V70" s="52" t="s">
        <v>10</v>
      </c>
      <c r="W70" s="50" t="e">
        <f ca="1">IF($C70="S",ROUND(IF(TIPOORCAMENTO="Proposto",ORÇAMENTO.CustoUnitario*(1+$AH70),ORÇAMENTO.PrecoUnitarioLicitado),15-13*$AF$10),0)</f>
        <v>#VALUE!</v>
      </c>
      <c r="X70" s="53" t="e">
        <f t="shared" ca="1" si="42"/>
        <v>#VALUE!</v>
      </c>
      <c r="Y70" s="54" t="s">
        <v>63</v>
      </c>
      <c r="Z70" t="e">
        <f t="shared" ca="1" si="56"/>
        <v>#VALUE!</v>
      </c>
      <c r="AA70" s="55" t="e">
        <f ca="1">IF($C70="S",IF($Z70="CP",$X70,IF($Z70="RA",(($X70)*[1]QCI!$AA$3),0)),SomaAgrup)</f>
        <v>#VALUE!</v>
      </c>
      <c r="AB70" s="56" t="e">
        <f t="shared" ca="1" si="43"/>
        <v>#VALUE!</v>
      </c>
      <c r="AC70" s="57" t="e">
        <f ca="1">IF($N70="","",IF(ORÇAMENTO.Descricao="","DESCRIÇÃO",IF(AND($C70="S",ORÇAMENTO.Unidade=""),"UNIDADE",IF($X70&lt;0,"VALOR NEGATIVO",IF(OR(AND(TIPOORCAMENTO="Proposto",$AG70&lt;&gt;"",$AG70&gt;0,ORÇAMENTO.CustoUnitario&gt;$AG70),AND(TIPOORCAMENTO="LICITADO",ORÇAMENTO.PrecoUnitarioLicitado&gt;$AN70)),"ACIMA REF.","")))))</f>
        <v>#VALUE!</v>
      </c>
      <c r="AD70" t="str">
        <f ca="1">IF(C70&lt;=CRONO.NivelExibicao,MAX($AD$15:OFFSET(AD70,-1,0))+IF($C70&lt;&gt;1,1,MAX(1,COUNTIF([1]QCI!$A$13:$A$24,OFFSET($E70,-1,0)))),"")</f>
        <v/>
      </c>
      <c r="AE70" s="4" t="str">
        <f ca="1">IF(AND($C70="S",ORÇAMENTO.CodBarra&lt;&gt;""),IF(ORÇAMENTO.Fonte="",ORÇAMENTO.CodBarra,CONCATENATE(ORÇAMENTO.Fonte," ",ORÇAMENTO.CodBarra)))</f>
        <v>SINAPI 96536</v>
      </c>
      <c r="AF70" s="58" t="e">
        <f ca="1">IF(ISERROR(INDIRECT(ORÇAMENTO.BancoRef)),"(abra o arquivo 'Referência "&amp;Excel_BuiltIn_Database&amp;".xls)",IF(OR($C70&lt;&gt;"S",ORÇAMENTO.CodBarra=""),"(Sem Código)",IF(ISERROR(MATCH($AE70,INDIRECT(ORÇAMENTO.BancoRef),0)),"(Código não identificado nas referências)",MATCH($AE70,INDIRECT(ORÇAMENTO.BancoRef),0))))</f>
        <v>#VALUE!</v>
      </c>
      <c r="AG70" s="59" t="e">
        <f ca="1">ROUND(IF(DESONERACAO="sim",REFERENCIA.Desonerado,REFERENCIA.NaoDesonerado),2)</f>
        <v>#VALUE!</v>
      </c>
      <c r="AH70" s="60">
        <f t="shared" si="44"/>
        <v>0.2223</v>
      </c>
      <c r="AJ70" s="61">
        <v>20</v>
      </c>
      <c r="AL70" s="62"/>
      <c r="AM70" s="63" t="e">
        <f t="shared" ca="1" si="0"/>
        <v>#VALUE!</v>
      </c>
      <c r="AN70" s="64" t="e">
        <f t="shared" ca="1" si="45"/>
        <v>#VALUE!</v>
      </c>
    </row>
    <row r="71" spans="1:40" ht="38.25" x14ac:dyDescent="0.2">
      <c r="A71" t="str">
        <f t="shared" si="41"/>
        <v>S</v>
      </c>
      <c r="B71">
        <f t="shared" ca="1" si="46"/>
        <v>4</v>
      </c>
      <c r="C71" t="str">
        <f t="shared" ca="1" si="47"/>
        <v>S</v>
      </c>
      <c r="D71">
        <f t="shared" ca="1" si="48"/>
        <v>0</v>
      </c>
      <c r="E71" t="e">
        <f ca="1">IF($C71=1,OFFSET(E71,-1,0)+MAX(1,COUNTIF([1]QCI!$A$13:$A$24,OFFSET('PLANILHA A LICITAR'!E71,-1,0))),OFFSET(E71,-1,0))</f>
        <v>#VALUE!</v>
      </c>
      <c r="F71">
        <f t="shared" ca="1" si="49"/>
        <v>2</v>
      </c>
      <c r="G71">
        <f t="shared" ca="1" si="50"/>
        <v>5</v>
      </c>
      <c r="H71">
        <f t="shared" ca="1" si="51"/>
        <v>1</v>
      </c>
      <c r="I71" t="e">
        <f t="shared" ca="1" si="52"/>
        <v>#VALUE!</v>
      </c>
      <c r="J71">
        <f t="shared" ca="1" si="9"/>
        <v>0</v>
      </c>
      <c r="K71">
        <f ca="1">IF(OR($C71="S",$C71=0),0,MATCH(OFFSET($D71,0,$C71)+IF($C71&lt;&gt;1,1,COUNTIF([1]QCI!$A$13:$A$24,'PLANILHA A LICITAR'!E71)),OFFSET($D71,1,$C71,ROW($C$145)-ROW($C71)),0))</f>
        <v>0</v>
      </c>
      <c r="L71" s="42" t="e">
        <f t="shared" ca="1" si="53"/>
        <v>#VALUE!</v>
      </c>
      <c r="M71" s="43" t="s">
        <v>7</v>
      </c>
      <c r="N71" s="44" t="str">
        <f t="shared" ca="1" si="54"/>
        <v>Serviço</v>
      </c>
      <c r="O71" s="45" t="e">
        <f t="shared" ca="1" si="55"/>
        <v>#VALUE!</v>
      </c>
      <c r="P71" s="46" t="s">
        <v>62</v>
      </c>
      <c r="Q71" s="47" t="s">
        <v>136</v>
      </c>
      <c r="R71" s="48" t="s">
        <v>137</v>
      </c>
      <c r="S71" s="49" t="s">
        <v>78</v>
      </c>
      <c r="T71" s="50" t="e">
        <f ca="1">OFFSET([1]CÁLCULO!H$15,ROW($T71)-ROW(T$15),0)</f>
        <v>#VALUE!</v>
      </c>
      <c r="U71" s="51" t="e">
        <f t="shared" ca="1" si="58"/>
        <v>#VALUE!</v>
      </c>
      <c r="V71" s="52" t="s">
        <v>10</v>
      </c>
      <c r="W71" s="50" t="e">
        <f ca="1">IF($C71="S",ROUND(IF(TIPOORCAMENTO="Proposto",ORÇAMENTO.CustoUnitario*(1+$AH71),ORÇAMENTO.PrecoUnitarioLicitado),15-13*$AF$10),0)</f>
        <v>#VALUE!</v>
      </c>
      <c r="X71" s="53" t="e">
        <f t="shared" ca="1" si="42"/>
        <v>#VALUE!</v>
      </c>
      <c r="Y71" s="54" t="s">
        <v>63</v>
      </c>
      <c r="Z71" t="e">
        <f t="shared" ca="1" si="56"/>
        <v>#VALUE!</v>
      </c>
      <c r="AA71" s="55" t="e">
        <f ca="1">IF($C71="S",IF($Z71="CP",$X71,IF($Z71="RA",(($X71)*[1]QCI!$AA$3),0)),SomaAgrup)</f>
        <v>#VALUE!</v>
      </c>
      <c r="AB71" s="56" t="e">
        <f t="shared" ca="1" si="43"/>
        <v>#VALUE!</v>
      </c>
      <c r="AC71" s="57" t="e">
        <f ca="1">IF($N71="","",IF(ORÇAMENTO.Descricao="","DESCRIÇÃO",IF(AND($C71="S",ORÇAMENTO.Unidade=""),"UNIDADE",IF($X71&lt;0,"VALOR NEGATIVO",IF(OR(AND(TIPOORCAMENTO="Proposto",$AG71&lt;&gt;"",$AG71&gt;0,ORÇAMENTO.CustoUnitario&gt;$AG71),AND(TIPOORCAMENTO="LICITADO",ORÇAMENTO.PrecoUnitarioLicitado&gt;$AN71)),"ACIMA REF.","")))))</f>
        <v>#VALUE!</v>
      </c>
      <c r="AD71" t="str">
        <f ca="1">IF(C71&lt;=CRONO.NivelExibicao,MAX($AD$15:OFFSET(AD71,-1,0))+IF($C71&lt;&gt;1,1,MAX(1,COUNTIF([1]QCI!$A$13:$A$24,OFFSET($E71,-1,0)))),"")</f>
        <v/>
      </c>
      <c r="AE71" s="4" t="str">
        <f ca="1">IF(AND($C71="S",ORÇAMENTO.CodBarra&lt;&gt;""),IF(ORÇAMENTO.Fonte="",ORÇAMENTO.CodBarra,CONCATENATE(ORÇAMENTO.Fonte," ",ORÇAMENTO.CodBarra)))</f>
        <v>SINAPI 94971</v>
      </c>
      <c r="AF71" s="58" t="e">
        <f ca="1">IF(ISERROR(INDIRECT(ORÇAMENTO.BancoRef)),"(abra o arquivo 'Referência "&amp;Excel_BuiltIn_Database&amp;".xls)",IF(OR($C71&lt;&gt;"S",ORÇAMENTO.CodBarra=""),"(Sem Código)",IF(ISERROR(MATCH($AE71,INDIRECT(ORÇAMENTO.BancoRef),0)),"(Código não identificado nas referências)",MATCH($AE71,INDIRECT(ORÇAMENTO.BancoRef),0))))</f>
        <v>#VALUE!</v>
      </c>
      <c r="AG71" s="59" t="e">
        <f ca="1">ROUND(IF(DESONERACAO="sim",REFERENCIA.Desonerado,REFERENCIA.NaoDesonerado),2)</f>
        <v>#VALUE!</v>
      </c>
      <c r="AH71" s="60">
        <f t="shared" si="44"/>
        <v>0.2223</v>
      </c>
      <c r="AJ71" s="61">
        <v>7.32</v>
      </c>
      <c r="AL71" s="62"/>
      <c r="AM71" s="63" t="e">
        <f t="shared" ca="1" si="0"/>
        <v>#VALUE!</v>
      </c>
      <c r="AN71" s="64" t="e">
        <f t="shared" ca="1" si="45"/>
        <v>#VALUE!</v>
      </c>
    </row>
    <row r="72" spans="1:40" x14ac:dyDescent="0.2">
      <c r="A72">
        <f t="shared" si="41"/>
        <v>4</v>
      </c>
      <c r="B72">
        <f t="shared" ca="1" si="46"/>
        <v>4</v>
      </c>
      <c r="C72">
        <f t="shared" ca="1" si="47"/>
        <v>4</v>
      </c>
      <c r="D72">
        <f t="shared" ca="1" si="48"/>
        <v>2</v>
      </c>
      <c r="E72" t="e">
        <f ca="1">IF($C72=1,OFFSET(E72,-1,0)+MAX(1,COUNTIF([1]QCI!$A$13:$A$24,OFFSET('PLANILHA A LICITAR'!E72,-1,0))),OFFSET(E72,-1,0))</f>
        <v>#VALUE!</v>
      </c>
      <c r="F72">
        <f t="shared" ca="1" si="49"/>
        <v>2</v>
      </c>
      <c r="G72">
        <f t="shared" ca="1" si="50"/>
        <v>5</v>
      </c>
      <c r="H72">
        <f t="shared" ca="1" si="51"/>
        <v>2</v>
      </c>
      <c r="I72">
        <f t="shared" ca="1" si="52"/>
        <v>0</v>
      </c>
      <c r="J72">
        <f t="shared" ca="1" si="9"/>
        <v>13</v>
      </c>
      <c r="K72">
        <f ca="1">IF(OR($C72="S",$C72=0),0,MATCH(OFFSET($D72,0,$C72)+IF($C72&lt;&gt;1,1,COUNTIF([1]QCI!$A$13:$A$24,'PLANILHA A LICITAR'!E72)),OFFSET($D72,1,$C72,ROW($C$145)-ROW($C72)),0))</f>
        <v>2</v>
      </c>
      <c r="L72" s="42" t="e">
        <f t="shared" ca="1" si="53"/>
        <v>#VALUE!</v>
      </c>
      <c r="M72" s="43" t="s">
        <v>6</v>
      </c>
      <c r="N72" s="44" t="str">
        <f t="shared" ca="1" si="54"/>
        <v>Nível 4</v>
      </c>
      <c r="O72" s="45" t="e">
        <f t="shared" ca="1" si="55"/>
        <v>#VALUE!</v>
      </c>
      <c r="P72" s="46" t="s">
        <v>62</v>
      </c>
      <c r="Q72" s="47"/>
      <c r="R72" s="48" t="s">
        <v>153</v>
      </c>
      <c r="S72" s="49" t="s">
        <v>67</v>
      </c>
      <c r="T72" s="50" t="e">
        <f ca="1">OFFSET([1]CÁLCULO!H$15,ROW($T72)-ROW(T$15),0)</f>
        <v>#VALUE!</v>
      </c>
      <c r="U72" s="51"/>
      <c r="V72" s="52" t="s">
        <v>10</v>
      </c>
      <c r="W72" s="50">
        <f ca="1">IF($C72="S",ROUND(IF(TIPOORCAMENTO="Proposto",ORÇAMENTO.CustoUnitario*(1+$AH72),ORÇAMENTO.PrecoUnitarioLicitado),15-13*$AF$10),0)</f>
        <v>0</v>
      </c>
      <c r="X72" s="53" t="e">
        <f t="shared" ca="1" si="42"/>
        <v>#VALUE!</v>
      </c>
      <c r="Y72" s="54" t="s">
        <v>63</v>
      </c>
      <c r="Z72" t="e">
        <f t="shared" ca="1" si="56"/>
        <v>#VALUE!</v>
      </c>
      <c r="AA72" s="55" t="e">
        <f ca="1">IF($C72="S",IF($Z72="CP",$X72,IF($Z72="RA",(($X72)*[1]QCI!$AA$3),0)),SomaAgrup)</f>
        <v>#VALUE!</v>
      </c>
      <c r="AB72" s="56" t="e">
        <f t="shared" ca="1" si="43"/>
        <v>#VALUE!</v>
      </c>
      <c r="AC72" s="57" t="e">
        <f ca="1">IF($N72="","",IF(ORÇAMENTO.Descricao="","DESCRIÇÃO",IF(AND($C72="S",ORÇAMENTO.Unidade=""),"UNIDADE",IF($X72&lt;0,"VALOR NEGATIVO",IF(OR(AND(TIPOORCAMENTO="Proposto",$AG72&lt;&gt;"",$AG72&gt;0,ORÇAMENTO.CustoUnitario&gt;$AG72),AND(TIPOORCAMENTO="LICITADO",ORÇAMENTO.PrecoUnitarioLicitado&gt;$AN72)),"ACIMA REF.","")))))</f>
        <v>#VALUE!</v>
      </c>
      <c r="AD72" t="str">
        <f ca="1">IF(C72&lt;=CRONO.NivelExibicao,MAX($AD$15:OFFSET(AD72,-1,0))+IF($C72&lt;&gt;1,1,MAX(1,COUNTIF([1]QCI!$A$13:$A$24,OFFSET($E72,-1,0)))),"")</f>
        <v/>
      </c>
      <c r="AE72" s="4" t="b">
        <f ca="1">IF(AND($C72="S",ORÇAMENTO.CodBarra&lt;&gt;""),IF(ORÇAMENTO.Fonte="",ORÇAMENTO.CodBarra,CONCATENATE(ORÇAMENTO.Fonte," ",ORÇAMENTO.CodBarra)))</f>
        <v>0</v>
      </c>
      <c r="AF72" s="58" t="e">
        <f ca="1">IF(ISERROR(INDIRECT(ORÇAMENTO.BancoRef)),"(abra o arquivo 'Referência "&amp;Excel_BuiltIn_Database&amp;".xls)",IF(OR($C72&lt;&gt;"S",ORÇAMENTO.CodBarra=""),"(Sem Código)",IF(ISERROR(MATCH($AE72,INDIRECT(ORÇAMENTO.BancoRef),0)),"(Código não identificado nas referências)",MATCH($AE72,INDIRECT(ORÇAMENTO.BancoRef),0))))</f>
        <v>#VALUE!</v>
      </c>
      <c r="AG72" s="59" t="e">
        <f ca="1">ROUND(IF(DESONERACAO="sim",REFERENCIA.Desonerado,REFERENCIA.NaoDesonerado),2)</f>
        <v>#VALUE!</v>
      </c>
      <c r="AH72" s="60">
        <f t="shared" si="44"/>
        <v>0.2223</v>
      </c>
      <c r="AJ72" s="61"/>
      <c r="AL72" s="62"/>
      <c r="AM72" s="63" t="e">
        <f t="shared" ca="1" si="0"/>
        <v>#VALUE!</v>
      </c>
      <c r="AN72" s="64">
        <f t="shared" si="45"/>
        <v>0</v>
      </c>
    </row>
    <row r="73" spans="1:40" x14ac:dyDescent="0.2">
      <c r="A73" t="str">
        <f t="shared" si="41"/>
        <v>S</v>
      </c>
      <c r="B73">
        <f t="shared" ca="1" si="46"/>
        <v>4</v>
      </c>
      <c r="C73" t="str">
        <f t="shared" ca="1" si="47"/>
        <v>S</v>
      </c>
      <c r="D73">
        <f t="shared" ca="1" si="48"/>
        <v>0</v>
      </c>
      <c r="E73" t="e">
        <f ca="1">IF($C73=1,OFFSET(E73,-1,0)+MAX(1,COUNTIF([1]QCI!$A$13:$A$24,OFFSET('PLANILHA A LICITAR'!E73,-1,0))),OFFSET(E73,-1,0))</f>
        <v>#VALUE!</v>
      </c>
      <c r="F73">
        <f t="shared" ca="1" si="49"/>
        <v>2</v>
      </c>
      <c r="G73">
        <f t="shared" ca="1" si="50"/>
        <v>5</v>
      </c>
      <c r="H73">
        <f t="shared" ca="1" si="51"/>
        <v>2</v>
      </c>
      <c r="I73" t="e">
        <f t="shared" ca="1" si="52"/>
        <v>#VALUE!</v>
      </c>
      <c r="J73">
        <f t="shared" ca="1" si="9"/>
        <v>0</v>
      </c>
      <c r="K73">
        <f ca="1">IF(OR($C73="S",$C73=0),0,MATCH(OFFSET($D73,0,$C73)+IF($C73&lt;&gt;1,1,COUNTIF([1]QCI!$A$13:$A$24,'PLANILHA A LICITAR'!E73)),OFFSET($D73,1,$C73,ROW($C$145)-ROW($C73)),0))</f>
        <v>0</v>
      </c>
      <c r="L73" s="42" t="e">
        <f t="shared" ca="1" si="53"/>
        <v>#VALUE!</v>
      </c>
      <c r="M73" s="43" t="s">
        <v>7</v>
      </c>
      <c r="N73" s="44" t="str">
        <f t="shared" ca="1" si="54"/>
        <v>Serviço</v>
      </c>
      <c r="O73" s="45" t="e">
        <f t="shared" ca="1" si="55"/>
        <v>#VALUE!</v>
      </c>
      <c r="P73" s="46" t="s">
        <v>62</v>
      </c>
      <c r="Q73" s="47" t="s">
        <v>123</v>
      </c>
      <c r="R73" s="48" t="s">
        <v>124</v>
      </c>
      <c r="S73" s="49" t="s">
        <v>78</v>
      </c>
      <c r="T73" s="50" t="e">
        <f ca="1">OFFSET([1]CÁLCULO!H$15,ROW($T73)-ROW(T$15),0)</f>
        <v>#VALUE!</v>
      </c>
      <c r="U73" s="51" t="e">
        <f t="shared" ca="1" si="58"/>
        <v>#VALUE!</v>
      </c>
      <c r="V73" s="52" t="s">
        <v>10</v>
      </c>
      <c r="W73" s="50" t="e">
        <f ca="1">IF($C73="S",ROUND(IF(TIPOORCAMENTO="Proposto",ORÇAMENTO.CustoUnitario*(1+$AH73),ORÇAMENTO.PrecoUnitarioLicitado),15-13*$AF$10),0)</f>
        <v>#VALUE!</v>
      </c>
      <c r="X73" s="53" t="e">
        <f t="shared" ca="1" si="42"/>
        <v>#VALUE!</v>
      </c>
      <c r="Y73" s="54" t="s">
        <v>63</v>
      </c>
      <c r="Z73" t="e">
        <f t="shared" ca="1" si="56"/>
        <v>#VALUE!</v>
      </c>
      <c r="AA73" s="55" t="e">
        <f ca="1">IF($C73="S",IF($Z73="CP",$X73,IF($Z73="RA",(($X73)*[1]QCI!$AA$3),0)),SomaAgrup)</f>
        <v>#VALUE!</v>
      </c>
      <c r="AB73" s="56" t="e">
        <f t="shared" ca="1" si="43"/>
        <v>#VALUE!</v>
      </c>
      <c r="AC73" s="57" t="e">
        <f ca="1">IF($N73="","",IF(ORÇAMENTO.Descricao="","DESCRIÇÃO",IF(AND($C73="S",ORÇAMENTO.Unidade=""),"UNIDADE",IF($X73&lt;0,"VALOR NEGATIVO",IF(OR(AND(TIPOORCAMENTO="Proposto",$AG73&lt;&gt;"",$AG73&gt;0,ORÇAMENTO.CustoUnitario&gt;$AG73),AND(TIPOORCAMENTO="LICITADO",ORÇAMENTO.PrecoUnitarioLicitado&gt;$AN73)),"ACIMA REF.","")))))</f>
        <v>#VALUE!</v>
      </c>
      <c r="AD73" t="str">
        <f ca="1">IF(C73&lt;=CRONO.NivelExibicao,MAX($AD$15:OFFSET(AD73,-1,0))+IF($C73&lt;&gt;1,1,MAX(1,COUNTIF([1]QCI!$A$13:$A$24,OFFSET($E73,-1,0)))),"")</f>
        <v/>
      </c>
      <c r="AE73" s="4" t="str">
        <f ca="1">IF(AND($C73="S",ORÇAMENTO.CodBarra&lt;&gt;""),IF(ORÇAMENTO.Fonte="",ORÇAMENTO.CodBarra,CONCATENATE(ORÇAMENTO.Fonte," ",ORÇAMENTO.CodBarra)))</f>
        <v>SINAPI 96995</v>
      </c>
      <c r="AF73" s="58" t="e">
        <f ca="1">IF(ISERROR(INDIRECT(ORÇAMENTO.BancoRef)),"(abra o arquivo 'Referência "&amp;Excel_BuiltIn_Database&amp;".xls)",IF(OR($C73&lt;&gt;"S",ORÇAMENTO.CodBarra=""),"(Sem Código)",IF(ISERROR(MATCH($AE73,INDIRECT(ORÇAMENTO.BancoRef),0)),"(Código não identificado nas referências)",MATCH($AE73,INDIRECT(ORÇAMENTO.BancoRef),0))))</f>
        <v>#VALUE!</v>
      </c>
      <c r="AG73" s="59" t="e">
        <f ca="1">ROUND(IF(DESONERACAO="sim",REFERENCIA.Desonerado,REFERENCIA.NaoDesonerado),2)</f>
        <v>#VALUE!</v>
      </c>
      <c r="AH73" s="60">
        <f t="shared" si="44"/>
        <v>0.2223</v>
      </c>
      <c r="AJ73" s="61">
        <v>97.76</v>
      </c>
      <c r="AL73" s="62"/>
      <c r="AM73" s="63" t="e">
        <f t="shared" ca="1" si="0"/>
        <v>#VALUE!</v>
      </c>
      <c r="AN73" s="64" t="e">
        <f t="shared" ca="1" si="45"/>
        <v>#VALUE!</v>
      </c>
    </row>
    <row r="74" spans="1:40" x14ac:dyDescent="0.2">
      <c r="A74">
        <f t="shared" si="41"/>
        <v>4</v>
      </c>
      <c r="B74">
        <f t="shared" ca="1" si="46"/>
        <v>4</v>
      </c>
      <c r="C74">
        <f t="shared" ca="1" si="47"/>
        <v>4</v>
      </c>
      <c r="D74">
        <f t="shared" ca="1" si="48"/>
        <v>3</v>
      </c>
      <c r="E74" t="e">
        <f ca="1">IF($C74=1,OFFSET(E74,-1,0)+MAX(1,COUNTIF([1]QCI!$A$13:$A$24,OFFSET('PLANILHA A LICITAR'!E74,-1,0))),OFFSET(E74,-1,0))</f>
        <v>#VALUE!</v>
      </c>
      <c r="F74">
        <f t="shared" ca="1" si="49"/>
        <v>2</v>
      </c>
      <c r="G74">
        <f t="shared" ca="1" si="50"/>
        <v>5</v>
      </c>
      <c r="H74">
        <f t="shared" ca="1" si="51"/>
        <v>3</v>
      </c>
      <c r="I74">
        <f t="shared" ca="1" si="52"/>
        <v>0</v>
      </c>
      <c r="J74">
        <f t="shared" ca="1" si="9"/>
        <v>11</v>
      </c>
      <c r="K74">
        <f ca="1">IF(OR($C74="S",$C74=0),0,MATCH(OFFSET($D74,0,$C74)+IF($C74&lt;&gt;1,1,COUNTIF([1]QCI!$A$13:$A$24,'PLANILHA A LICITAR'!E74)),OFFSET($D74,1,$C74,ROW($C$145)-ROW($C74)),0))</f>
        <v>3</v>
      </c>
      <c r="L74" s="42" t="e">
        <f t="shared" ca="1" si="53"/>
        <v>#VALUE!</v>
      </c>
      <c r="M74" s="43" t="s">
        <v>6</v>
      </c>
      <c r="N74" s="44" t="str">
        <f t="shared" ca="1" si="54"/>
        <v>Nível 4</v>
      </c>
      <c r="O74" s="45" t="e">
        <f t="shared" ca="1" si="55"/>
        <v>#VALUE!</v>
      </c>
      <c r="P74" s="46" t="s">
        <v>62</v>
      </c>
      <c r="Q74" s="47"/>
      <c r="R74" s="48" t="s">
        <v>154</v>
      </c>
      <c r="S74" s="49" t="s">
        <v>67</v>
      </c>
      <c r="T74" s="50" t="e">
        <f ca="1">OFFSET([1]CÁLCULO!H$15,ROW($T74)-ROW(T$15),0)</f>
        <v>#VALUE!</v>
      </c>
      <c r="U74" s="51"/>
      <c r="V74" s="52" t="s">
        <v>10</v>
      </c>
      <c r="W74" s="50">
        <f ca="1">IF($C74="S",ROUND(IF(TIPOORCAMENTO="Proposto",ORÇAMENTO.CustoUnitario*(1+$AH74),ORÇAMENTO.PrecoUnitarioLicitado),15-13*$AF$10),0)</f>
        <v>0</v>
      </c>
      <c r="X74" s="53" t="e">
        <f t="shared" ca="1" si="42"/>
        <v>#VALUE!</v>
      </c>
      <c r="Y74" s="54" t="s">
        <v>63</v>
      </c>
      <c r="Z74" t="e">
        <f t="shared" ca="1" si="56"/>
        <v>#VALUE!</v>
      </c>
      <c r="AA74" s="55" t="e">
        <f ca="1">IF($C74="S",IF($Z74="CP",$X74,IF($Z74="RA",(($X74)*[1]QCI!$AA$3),0)),SomaAgrup)</f>
        <v>#VALUE!</v>
      </c>
      <c r="AB74" s="56" t="e">
        <f t="shared" ca="1" si="43"/>
        <v>#VALUE!</v>
      </c>
      <c r="AC74" s="57" t="e">
        <f ca="1">IF($N74="","",IF(ORÇAMENTO.Descricao="","DESCRIÇÃO",IF(AND($C74="S",ORÇAMENTO.Unidade=""),"UNIDADE",IF($X74&lt;0,"VALOR NEGATIVO",IF(OR(AND(TIPOORCAMENTO="Proposto",$AG74&lt;&gt;"",$AG74&gt;0,ORÇAMENTO.CustoUnitario&gt;$AG74),AND(TIPOORCAMENTO="LICITADO",ORÇAMENTO.PrecoUnitarioLicitado&gt;$AN74)),"ACIMA REF.","")))))</f>
        <v>#VALUE!</v>
      </c>
      <c r="AD74" t="str">
        <f ca="1">IF(C74&lt;=CRONO.NivelExibicao,MAX($AD$15:OFFSET(AD74,-1,0))+IF($C74&lt;&gt;1,1,MAX(1,COUNTIF([1]QCI!$A$13:$A$24,OFFSET($E74,-1,0)))),"")</f>
        <v/>
      </c>
      <c r="AE74" s="4" t="b">
        <f ca="1">IF(AND($C74="S",ORÇAMENTO.CodBarra&lt;&gt;""),IF(ORÇAMENTO.Fonte="",ORÇAMENTO.CodBarra,CONCATENATE(ORÇAMENTO.Fonte," ",ORÇAMENTO.CodBarra)))</f>
        <v>0</v>
      </c>
      <c r="AF74" s="58" t="e">
        <f ca="1">IF(ISERROR(INDIRECT(ORÇAMENTO.BancoRef)),"(abra o arquivo 'Referência "&amp;Excel_BuiltIn_Database&amp;".xls)",IF(OR($C74&lt;&gt;"S",ORÇAMENTO.CodBarra=""),"(Sem Código)",IF(ISERROR(MATCH($AE74,INDIRECT(ORÇAMENTO.BancoRef),0)),"(Código não identificado nas referências)",MATCH($AE74,INDIRECT(ORÇAMENTO.BancoRef),0))))</f>
        <v>#VALUE!</v>
      </c>
      <c r="AG74" s="59" t="e">
        <f ca="1">ROUND(IF(DESONERACAO="sim",REFERENCIA.Desonerado,REFERENCIA.NaoDesonerado),2)</f>
        <v>#VALUE!</v>
      </c>
      <c r="AH74" s="60">
        <f t="shared" si="44"/>
        <v>0.2223</v>
      </c>
      <c r="AJ74" s="61"/>
      <c r="AL74" s="62"/>
      <c r="AM74" s="63" t="e">
        <f t="shared" ca="1" si="0"/>
        <v>#VALUE!</v>
      </c>
      <c r="AN74" s="64">
        <f t="shared" si="45"/>
        <v>0</v>
      </c>
    </row>
    <row r="75" spans="1:40" ht="38.25" x14ac:dyDescent="0.2">
      <c r="A75" t="str">
        <f t="shared" si="41"/>
        <v>S</v>
      </c>
      <c r="B75">
        <f t="shared" ca="1" si="46"/>
        <v>4</v>
      </c>
      <c r="C75" t="str">
        <f t="shared" ca="1" si="47"/>
        <v>S</v>
      </c>
      <c r="D75">
        <f t="shared" ca="1" si="48"/>
        <v>0</v>
      </c>
      <c r="E75" t="e">
        <f ca="1">IF($C75=1,OFFSET(E75,-1,0)+MAX(1,COUNTIF([1]QCI!$A$13:$A$24,OFFSET('PLANILHA A LICITAR'!E75,-1,0))),OFFSET(E75,-1,0))</f>
        <v>#VALUE!</v>
      </c>
      <c r="F75">
        <f t="shared" ca="1" si="49"/>
        <v>2</v>
      </c>
      <c r="G75">
        <f t="shared" ca="1" si="50"/>
        <v>5</v>
      </c>
      <c r="H75">
        <f t="shared" ca="1" si="51"/>
        <v>3</v>
      </c>
      <c r="I75" t="e">
        <f t="shared" ca="1" si="52"/>
        <v>#VALUE!</v>
      </c>
      <c r="J75">
        <f t="shared" ca="1" si="9"/>
        <v>0</v>
      </c>
      <c r="K75">
        <f ca="1">IF(OR($C75="S",$C75=0),0,MATCH(OFFSET($D75,0,$C75)+IF($C75&lt;&gt;1,1,COUNTIF([1]QCI!$A$13:$A$24,'PLANILHA A LICITAR'!E75)),OFFSET($D75,1,$C75,ROW($C$145)-ROW($C75)),0))</f>
        <v>0</v>
      </c>
      <c r="L75" s="42" t="e">
        <f t="shared" ca="1" si="53"/>
        <v>#VALUE!</v>
      </c>
      <c r="M75" s="43" t="s">
        <v>7</v>
      </c>
      <c r="N75" s="44" t="str">
        <f t="shared" ca="1" si="54"/>
        <v>Serviço</v>
      </c>
      <c r="O75" s="45" t="e">
        <f t="shared" ca="1" si="55"/>
        <v>#VALUE!</v>
      </c>
      <c r="P75" s="46" t="s">
        <v>62</v>
      </c>
      <c r="Q75" s="47" t="s">
        <v>98</v>
      </c>
      <c r="R75" s="48" t="s">
        <v>99</v>
      </c>
      <c r="S75" s="49" t="s">
        <v>75</v>
      </c>
      <c r="T75" s="50" t="e">
        <f ca="1">OFFSET([1]CÁLCULO!H$15,ROW($T75)-ROW(T$15),0)</f>
        <v>#VALUE!</v>
      </c>
      <c r="U75" s="51" t="e">
        <f t="shared" ca="1" si="58"/>
        <v>#VALUE!</v>
      </c>
      <c r="V75" s="52" t="s">
        <v>10</v>
      </c>
      <c r="W75" s="50" t="e">
        <f ca="1">IF($C75="S",ROUND(IF(TIPOORCAMENTO="Proposto",ORÇAMENTO.CustoUnitario*(1+$AH75),ORÇAMENTO.PrecoUnitarioLicitado),15-13*$AF$10),0)</f>
        <v>#VALUE!</v>
      </c>
      <c r="X75" s="53" t="e">
        <f t="shared" ca="1" si="42"/>
        <v>#VALUE!</v>
      </c>
      <c r="Y75" s="54" t="s">
        <v>63</v>
      </c>
      <c r="Z75" t="e">
        <f t="shared" ca="1" si="56"/>
        <v>#VALUE!</v>
      </c>
      <c r="AA75" s="55" t="e">
        <f ca="1">IF($C75="S",IF($Z75="CP",$X75,IF($Z75="RA",(($X75)*[1]QCI!$AA$3),0)),SomaAgrup)</f>
        <v>#VALUE!</v>
      </c>
      <c r="AB75" s="56" t="e">
        <f t="shared" ca="1" si="43"/>
        <v>#VALUE!</v>
      </c>
      <c r="AC75" s="57" t="e">
        <f ca="1">IF($N75="","",IF(ORÇAMENTO.Descricao="","DESCRIÇÃO",IF(AND($C75="S",ORÇAMENTO.Unidade=""),"UNIDADE",IF($X75&lt;0,"VALOR NEGATIVO",IF(OR(AND(TIPOORCAMENTO="Proposto",$AG75&lt;&gt;"",$AG75&gt;0,ORÇAMENTO.CustoUnitario&gt;$AG75),AND(TIPOORCAMENTO="LICITADO",ORÇAMENTO.PrecoUnitarioLicitado&gt;$AN75)),"ACIMA REF.","")))))</f>
        <v>#VALUE!</v>
      </c>
      <c r="AD75" t="str">
        <f ca="1">IF(C75&lt;=CRONO.NivelExibicao,MAX($AD$15:OFFSET(AD75,-1,0))+IF($C75&lt;&gt;1,1,MAX(1,COUNTIF([1]QCI!$A$13:$A$24,OFFSET($E75,-1,0)))),"")</f>
        <v/>
      </c>
      <c r="AE75" s="4" t="str">
        <f ca="1">IF(AND($C75="S",ORÇAMENTO.CodBarra&lt;&gt;""),IF(ORÇAMENTO.Fonte="",ORÇAMENTO.CodBarra,CONCATENATE(ORÇAMENTO.Fonte," ",ORÇAMENTO.CodBarra)))</f>
        <v>SINAPI 103319</v>
      </c>
      <c r="AF75" s="58" t="e">
        <f ca="1">IF(ISERROR(INDIRECT(ORÇAMENTO.BancoRef)),"(abra o arquivo 'Referência "&amp;Excel_BuiltIn_Database&amp;".xls)",IF(OR($C75&lt;&gt;"S",ORÇAMENTO.CodBarra=""),"(Sem Código)",IF(ISERROR(MATCH($AE75,INDIRECT(ORÇAMENTO.BancoRef),0)),"(Código não identificado nas referências)",MATCH($AE75,INDIRECT(ORÇAMENTO.BancoRef),0))))</f>
        <v>#VALUE!</v>
      </c>
      <c r="AG75" s="59" t="e">
        <f ca="1">ROUND(IF(DESONERACAO="sim",REFERENCIA.Desonerado,REFERENCIA.NaoDesonerado),2)</f>
        <v>#VALUE!</v>
      </c>
      <c r="AH75" s="60">
        <f t="shared" si="44"/>
        <v>0.2223</v>
      </c>
      <c r="AJ75" s="61">
        <v>148.28</v>
      </c>
      <c r="AL75" s="62"/>
      <c r="AM75" s="63" t="e">
        <f t="shared" ca="1" si="0"/>
        <v>#VALUE!</v>
      </c>
      <c r="AN75" s="64" t="e">
        <f t="shared" ca="1" si="45"/>
        <v>#VALUE!</v>
      </c>
    </row>
    <row r="76" spans="1:40" ht="63.75" x14ac:dyDescent="0.2">
      <c r="A76" t="str">
        <f>CHOOSE(1+LOG(1+2*(ORÇAMENTO.Nivel="Meta")+4*(ORÇAMENTO.Nivel="Nível 2")+8*(ORÇAMENTO.Nivel="Nível 3")+16*(ORÇAMENTO.Nivel="Nível 4")+32*(ORÇAMENTO.Nivel="Serviço"),2),0,1,2,3,4,"S")</f>
        <v>S</v>
      </c>
      <c r="B76">
        <f ca="1">IF(OR(C76="s",C76=0),OFFSET(B76,-1,0),C76)</f>
        <v>4</v>
      </c>
      <c r="C76" t="str">
        <f ca="1">IF(OFFSET(C76,-1,0)="L",1,IF(OFFSET(C76,-1,0)=1,2,IF(OR(A76="s",A76=0),"S",IF(AND(OFFSET(C76,-1,0)=2,A76=4),3,IF(AND(OR(OFFSET(C76,-1,0)="s",OFFSET(C76,-1,0)=0),A76&lt;&gt;"s",A76&gt;OFFSET(B76,-1,0)),OFFSET(B76,-1,0),A76)))))</f>
        <v>S</v>
      </c>
      <c r="D76">
        <f ca="1">IF(OR(C76="S",C76=0),0,IF(ISERROR(K76),J76,SMALL(J76:K76,1)))</f>
        <v>0</v>
      </c>
      <c r="E76" t="e">
        <f ca="1">IF($C76=1,OFFSET(E76,-1,0)+MAX(1,COUNTIF([1]QCI!$A$13:$A$24,OFFSET('PLANILHA A LICITAR'!E76,-1,0))),OFFSET(E76,-1,0))</f>
        <v>#VALUE!</v>
      </c>
      <c r="F76">
        <f ca="1">IF($C76=1,0,IF($C76=2,OFFSET(F76,-1,0)+1,OFFSET(F76,-1,0)))</f>
        <v>2</v>
      </c>
      <c r="G76">
        <f ca="1">IF(AND($C76&lt;=2,$C76&lt;&gt;0),0,IF($C76=3,OFFSET(G76,-1,0)+1,OFFSET(G76,-1,0)))</f>
        <v>5</v>
      </c>
      <c r="H76">
        <f ca="1">IF(AND($C76&lt;=3,$C76&lt;&gt;0),0,IF($C76=4,OFFSET(H76,-1,0)+1,OFFSET(H76,-1,0)))</f>
        <v>3</v>
      </c>
      <c r="I76" t="e">
        <f ca="1">IF(AND($C76&lt;=4,$C76&lt;&gt;0),0,IF(AND($C76="S",$X76&gt;0),OFFSET(I76,-1,0)+1,OFFSET(I76,-1,0)))</f>
        <v>#VALUE!</v>
      </c>
      <c r="J76">
        <f t="shared" ca="1" si="9"/>
        <v>0</v>
      </c>
      <c r="K76">
        <f ca="1">IF(OR($C76="S",$C76=0),0,MATCH(OFFSET($D76,0,$C76)+IF($C76&lt;&gt;1,1,COUNTIF([1]QCI!$A$13:$A$24,'PLANILHA A LICITAR'!E76)),OFFSET($D76,1,$C76,ROW($C$145)-ROW($C76)),0))</f>
        <v>0</v>
      </c>
      <c r="L76" s="42" t="e">
        <f ca="1">IF(OR($X76&gt;0,$C76=1,$C76=2,$C76=3,$C76=4),"F","")</f>
        <v>#VALUE!</v>
      </c>
      <c r="M76" s="43" t="s">
        <v>7</v>
      </c>
      <c r="N76" s="44" t="str">
        <f ca="1">CHOOSE(1+LOG(1+2*(C76=1)+4*(C76=2)+8*(C76=3)+16*(C76=4)+32*(C76="S"),2),"","Meta","Nível 2","Nível 3","Nível 4","Serviço")</f>
        <v>Serviço</v>
      </c>
      <c r="O76" s="45" t="e">
        <f ca="1">IF(OR($C76=0,$L76=""),"-",CONCATENATE(E76&amp;".",IF(AND($A$5&gt;=2,$C76&gt;=2),F76&amp;".",""),IF(AND($A$5&gt;=3,$C76&gt;=3),G76&amp;".",""),IF(AND($A$5&gt;=4,$C76&gt;=4),H76&amp;".",""),IF($C76="S",I76&amp;".","")))</f>
        <v>#VALUE!</v>
      </c>
      <c r="P76" s="46" t="s">
        <v>62</v>
      </c>
      <c r="Q76" s="47" t="s">
        <v>155</v>
      </c>
      <c r="R76" s="48" t="s">
        <v>156</v>
      </c>
      <c r="S76" s="49" t="s">
        <v>75</v>
      </c>
      <c r="T76" s="50" t="e">
        <f ca="1">OFFSET([1]CÁLCULO!H$15,ROW($T76)-ROW(T$15),0)</f>
        <v>#VALUE!</v>
      </c>
      <c r="U76" s="51" t="e">
        <f ca="1">AG76</f>
        <v>#VALUE!</v>
      </c>
      <c r="V76" s="52" t="s">
        <v>10</v>
      </c>
      <c r="W76" s="50" t="e">
        <f ca="1">IF($C76="S",ROUND(IF(TIPOORCAMENTO="Proposto",ORÇAMENTO.CustoUnitario*(1+$AH76),ORÇAMENTO.PrecoUnitarioLicitado),15-13*$AF$10),0)</f>
        <v>#VALUE!</v>
      </c>
      <c r="X76" s="53" t="e">
        <f ca="1">IF($C76="S",VTOTAL1,IF($C76=0,0,ROUND(SomaAgrup,15-13*$AF$11)))</f>
        <v>#VALUE!</v>
      </c>
      <c r="Y76" s="54" t="s">
        <v>63</v>
      </c>
      <c r="Z76" t="e">
        <f ca="1">IF(AND($C76="S",$X76&gt;0),IF(ISBLANK($Y76),"RA",LEFT($Y76,2)),"")</f>
        <v>#VALUE!</v>
      </c>
      <c r="AA76" s="55" t="e">
        <f ca="1">IF($C76="S",IF($Z76="CP",$X76,IF($Z76="RA",(($X76)*[1]QCI!$AA$3),0)),SomaAgrup)</f>
        <v>#VALUE!</v>
      </c>
      <c r="AB76" s="56" t="e">
        <f ca="1">IF($C76="S",IF($Z76="OU",ROUND($X76,2),0),SomaAgrup)</f>
        <v>#VALUE!</v>
      </c>
      <c r="AC76" s="57" t="e">
        <f ca="1">IF($N76="","",IF(ORÇAMENTO.Descricao="","DESCRIÇÃO",IF(AND($C76="S",ORÇAMENTO.Unidade=""),"UNIDADE",IF($X76&lt;0,"VALOR NEGATIVO",IF(OR(AND(TIPOORCAMENTO="Proposto",$AG76&lt;&gt;"",$AG76&gt;0,ORÇAMENTO.CustoUnitario&gt;$AG76),AND(TIPOORCAMENTO="LICITADO",ORÇAMENTO.PrecoUnitarioLicitado&gt;$AN76)),"ACIMA REF.","")))))</f>
        <v>#VALUE!</v>
      </c>
      <c r="AD76" t="str">
        <f ca="1">IF(C76&lt;=CRONO.NivelExibicao,MAX($AD$15:OFFSET(AD76,-1,0))+IF($C76&lt;&gt;1,1,MAX(1,COUNTIF([1]QCI!$A$13:$A$24,OFFSET($E76,-1,0)))),"")</f>
        <v/>
      </c>
      <c r="AE76" s="4" t="str">
        <f ca="1">IF(AND($C76="S",ORÇAMENTO.CodBarra&lt;&gt;""),IF(ORÇAMENTO.Fonte="",ORÇAMENTO.CodBarra,CONCATENATE(ORÇAMENTO.Fonte," ",ORÇAMENTO.CodBarra)))</f>
        <v>SINAPI 102364</v>
      </c>
      <c r="AF76" s="58" t="e">
        <f ca="1">IF(ISERROR(INDIRECT(ORÇAMENTO.BancoRef)),"(abra o arquivo 'Referência "&amp;Excel_BuiltIn_Database&amp;".xls)",IF(OR($C76&lt;&gt;"S",ORÇAMENTO.CodBarra=""),"(Sem Código)",IF(ISERROR(MATCH($AE76,INDIRECT(ORÇAMENTO.BancoRef),0)),"(Código não identificado nas referências)",MATCH($AE76,INDIRECT(ORÇAMENTO.BancoRef),0))))</f>
        <v>#VALUE!</v>
      </c>
      <c r="AG76" s="59" t="e">
        <f ca="1">ROUND(IF(DESONERACAO="sim",REFERENCIA.Desonerado,REFERENCIA.NaoDesonerado),2)</f>
        <v>#VALUE!</v>
      </c>
      <c r="AH76" s="60">
        <f>ROUND(IF(ISNUMBER(ORÇAMENTO.OpcaoBDI),ORÇAMENTO.OpcaoBDI,IF(LEFT(ORÇAMENTO.OpcaoBDI,3)="BDI",HLOOKUP(ORÇAMENTO.OpcaoBDI,$F$4:$H$5,2,FALSE),0)),15-11*$AF$9)</f>
        <v>0.2223</v>
      </c>
      <c r="AJ76" s="61">
        <v>57.83</v>
      </c>
      <c r="AL76" s="62"/>
      <c r="AM76" s="63" t="e">
        <f t="shared" ca="1" si="0"/>
        <v>#VALUE!</v>
      </c>
      <c r="AN76" s="64" t="e">
        <f ca="1">ROUND(ORÇAMENTO.CustoUnitario*(1+$AH76),2)</f>
        <v>#VALUE!</v>
      </c>
    </row>
    <row r="77" spans="1:40" x14ac:dyDescent="0.2">
      <c r="A77">
        <f t="shared" si="41"/>
        <v>4</v>
      </c>
      <c r="B77">
        <f t="shared" ca="1" si="46"/>
        <v>4</v>
      </c>
      <c r="C77">
        <f t="shared" ca="1" si="47"/>
        <v>4</v>
      </c>
      <c r="D77">
        <f t="shared" ca="1" si="48"/>
        <v>3</v>
      </c>
      <c r="E77" t="e">
        <f ca="1">IF($C77=1,OFFSET(E77,-1,0)+MAX(1,COUNTIF([1]QCI!$A$13:$A$24,OFFSET('PLANILHA A LICITAR'!E77,-1,0))),OFFSET(E77,-1,0))</f>
        <v>#VALUE!</v>
      </c>
      <c r="F77">
        <f t="shared" ca="1" si="49"/>
        <v>2</v>
      </c>
      <c r="G77">
        <f t="shared" ca="1" si="50"/>
        <v>5</v>
      </c>
      <c r="H77">
        <f t="shared" ca="1" si="51"/>
        <v>4</v>
      </c>
      <c r="I77">
        <f t="shared" ca="1" si="52"/>
        <v>0</v>
      </c>
      <c r="J77">
        <f t="shared" ca="1" si="9"/>
        <v>8</v>
      </c>
      <c r="K77">
        <f ca="1">IF(OR($C77="S",$C77=0),0,MATCH(OFFSET($D77,0,$C77)+IF($C77&lt;&gt;1,1,COUNTIF([1]QCI!$A$13:$A$24,'PLANILHA A LICITAR'!E77)),OFFSET($D77,1,$C77,ROW($C$145)-ROW($C77)),0))</f>
        <v>3</v>
      </c>
      <c r="L77" s="42" t="e">
        <f t="shared" ca="1" si="53"/>
        <v>#VALUE!</v>
      </c>
      <c r="M77" s="43" t="s">
        <v>6</v>
      </c>
      <c r="N77" s="44" t="str">
        <f t="shared" ca="1" si="54"/>
        <v>Nível 4</v>
      </c>
      <c r="O77" s="45" t="e">
        <f t="shared" ca="1" si="55"/>
        <v>#VALUE!</v>
      </c>
      <c r="P77" s="46" t="s">
        <v>62</v>
      </c>
      <c r="Q77" s="47"/>
      <c r="R77" s="48" t="s">
        <v>157</v>
      </c>
      <c r="S77" s="49" t="s">
        <v>67</v>
      </c>
      <c r="T77" s="50" t="e">
        <f ca="1">OFFSET([1]CÁLCULO!H$15,ROW($T77)-ROW(T$15),0)</f>
        <v>#VALUE!</v>
      </c>
      <c r="U77" s="51"/>
      <c r="V77" s="52" t="s">
        <v>10</v>
      </c>
      <c r="W77" s="50">
        <f ca="1">IF($C77="S",ROUND(IF(TIPOORCAMENTO="Proposto",ORÇAMENTO.CustoUnitario*(1+$AH77),ORÇAMENTO.PrecoUnitarioLicitado),15-13*$AF$10),0)</f>
        <v>0</v>
      </c>
      <c r="X77" s="53" t="e">
        <f t="shared" ca="1" si="42"/>
        <v>#VALUE!</v>
      </c>
      <c r="Y77" s="54" t="s">
        <v>63</v>
      </c>
      <c r="Z77" t="e">
        <f t="shared" ca="1" si="56"/>
        <v>#VALUE!</v>
      </c>
      <c r="AA77" s="55" t="e">
        <f ca="1">IF($C77="S",IF($Z77="CP",$X77,IF($Z77="RA",(($X77)*[1]QCI!$AA$3),0)),SomaAgrup)</f>
        <v>#VALUE!</v>
      </c>
      <c r="AB77" s="56" t="e">
        <f t="shared" ca="1" si="43"/>
        <v>#VALUE!</v>
      </c>
      <c r="AC77" s="57" t="e">
        <f ca="1">IF($N77="","",IF(ORÇAMENTO.Descricao="","DESCRIÇÃO",IF(AND($C77="S",ORÇAMENTO.Unidade=""),"UNIDADE",IF($X77&lt;0,"VALOR NEGATIVO",IF(OR(AND(TIPOORCAMENTO="Proposto",$AG77&lt;&gt;"",$AG77&gt;0,ORÇAMENTO.CustoUnitario&gt;$AG77),AND(TIPOORCAMENTO="LICITADO",ORÇAMENTO.PrecoUnitarioLicitado&gt;$AN77)),"ACIMA REF.","")))))</f>
        <v>#VALUE!</v>
      </c>
      <c r="AD77" t="str">
        <f ca="1">IF(C77&lt;=CRONO.NivelExibicao,MAX($AD$15:OFFSET(AD77,-1,0))+IF($C77&lt;&gt;1,1,MAX(1,COUNTIF([1]QCI!$A$13:$A$24,OFFSET($E77,-1,0)))),"")</f>
        <v/>
      </c>
      <c r="AE77" s="4" t="b">
        <f ca="1">IF(AND($C77="S",ORÇAMENTO.CodBarra&lt;&gt;""),IF(ORÇAMENTO.Fonte="",ORÇAMENTO.CodBarra,CONCATENATE(ORÇAMENTO.Fonte," ",ORÇAMENTO.CodBarra)))</f>
        <v>0</v>
      </c>
      <c r="AF77" s="58" t="e">
        <f ca="1">IF(ISERROR(INDIRECT(ORÇAMENTO.BancoRef)),"(abra o arquivo 'Referência "&amp;Excel_BuiltIn_Database&amp;".xls)",IF(OR($C77&lt;&gt;"S",ORÇAMENTO.CodBarra=""),"(Sem Código)",IF(ISERROR(MATCH($AE77,INDIRECT(ORÇAMENTO.BancoRef),0)),"(Código não identificado nas referências)",MATCH($AE77,INDIRECT(ORÇAMENTO.BancoRef),0))))</f>
        <v>#VALUE!</v>
      </c>
      <c r="AG77" s="59" t="e">
        <f ca="1">ROUND(IF(DESONERACAO="sim",REFERENCIA.Desonerado,REFERENCIA.NaoDesonerado),2)</f>
        <v>#VALUE!</v>
      </c>
      <c r="AH77" s="60">
        <f t="shared" si="44"/>
        <v>0.2223</v>
      </c>
      <c r="AJ77" s="61"/>
      <c r="AL77" s="62"/>
      <c r="AM77" s="63" t="e">
        <f t="shared" ca="1" si="0"/>
        <v>#VALUE!</v>
      </c>
      <c r="AN77" s="64">
        <f t="shared" si="45"/>
        <v>0</v>
      </c>
    </row>
    <row r="78" spans="1:40" ht="38.25" x14ac:dyDescent="0.2">
      <c r="A78" t="str">
        <f t="shared" si="41"/>
        <v>S</v>
      </c>
      <c r="B78">
        <f t="shared" ca="1" si="46"/>
        <v>4</v>
      </c>
      <c r="C78" t="str">
        <f t="shared" ca="1" si="47"/>
        <v>S</v>
      </c>
      <c r="D78">
        <f t="shared" ca="1" si="48"/>
        <v>0</v>
      </c>
      <c r="E78" t="e">
        <f ca="1">IF($C78=1,OFFSET(E78,-1,0)+MAX(1,COUNTIF([1]QCI!$A$13:$A$24,OFFSET('PLANILHA A LICITAR'!E78,-1,0))),OFFSET(E78,-1,0))</f>
        <v>#VALUE!</v>
      </c>
      <c r="F78">
        <f t="shared" ca="1" si="49"/>
        <v>2</v>
      </c>
      <c r="G78">
        <f t="shared" ca="1" si="50"/>
        <v>5</v>
      </c>
      <c r="H78">
        <f t="shared" ca="1" si="51"/>
        <v>4</v>
      </c>
      <c r="I78" t="e">
        <f t="shared" ca="1" si="52"/>
        <v>#VALUE!</v>
      </c>
      <c r="J78">
        <f t="shared" ca="1" si="9"/>
        <v>0</v>
      </c>
      <c r="K78">
        <f ca="1">IF(OR($C78="S",$C78=0),0,MATCH(OFFSET($D78,0,$C78)+IF($C78&lt;&gt;1,1,COUNTIF([1]QCI!$A$13:$A$24,'PLANILHA A LICITAR'!E78)),OFFSET($D78,1,$C78,ROW($C$145)-ROW($C78)),0))</f>
        <v>0</v>
      </c>
      <c r="L78" s="42" t="e">
        <f t="shared" ca="1" si="53"/>
        <v>#VALUE!</v>
      </c>
      <c r="M78" s="43" t="s">
        <v>7</v>
      </c>
      <c r="N78" s="44" t="str">
        <f t="shared" ca="1" si="54"/>
        <v>Serviço</v>
      </c>
      <c r="O78" s="45" t="e">
        <f t="shared" ca="1" si="55"/>
        <v>#VALUE!</v>
      </c>
      <c r="P78" s="46" t="s">
        <v>62</v>
      </c>
      <c r="Q78" s="47" t="s">
        <v>158</v>
      </c>
      <c r="R78" s="48" t="s">
        <v>159</v>
      </c>
      <c r="S78" s="49" t="s">
        <v>78</v>
      </c>
      <c r="T78" s="50" t="e">
        <f ca="1">OFFSET([1]CÁLCULO!H$15,ROW($T78)-ROW(T$15),0)</f>
        <v>#VALUE!</v>
      </c>
      <c r="U78" s="51" t="e">
        <f t="shared" ca="1" si="58"/>
        <v>#VALUE!</v>
      </c>
      <c r="V78" s="52" t="s">
        <v>10</v>
      </c>
      <c r="W78" s="50" t="e">
        <f ca="1">IF($C78="S",ROUND(IF(TIPOORCAMENTO="Proposto",ORÇAMENTO.CustoUnitario*(1+$AH78),ORÇAMENTO.PrecoUnitarioLicitado),15-13*$AF$10),0)</f>
        <v>#VALUE!</v>
      </c>
      <c r="X78" s="53" t="e">
        <f t="shared" ca="1" si="42"/>
        <v>#VALUE!</v>
      </c>
      <c r="Y78" s="54" t="s">
        <v>63</v>
      </c>
      <c r="Z78" t="e">
        <f t="shared" ca="1" si="56"/>
        <v>#VALUE!</v>
      </c>
      <c r="AA78" s="55" t="e">
        <f ca="1">IF($C78="S",IF($Z78="CP",$X78,IF($Z78="RA",(($X78)*[1]QCI!$AA$3),0)),SomaAgrup)</f>
        <v>#VALUE!</v>
      </c>
      <c r="AB78" s="56" t="e">
        <f t="shared" ca="1" si="43"/>
        <v>#VALUE!</v>
      </c>
      <c r="AC78" s="57" t="e">
        <f ca="1">IF($N78="","",IF(ORÇAMENTO.Descricao="","DESCRIÇÃO",IF(AND($C78="S",ORÇAMENTO.Unidade=""),"UNIDADE",IF($X78&lt;0,"VALOR NEGATIVO",IF(OR(AND(TIPOORCAMENTO="Proposto",$AG78&lt;&gt;"",$AG78&gt;0,ORÇAMENTO.CustoUnitario&gt;$AG78),AND(TIPOORCAMENTO="LICITADO",ORÇAMENTO.PrecoUnitarioLicitado&gt;$AN78)),"ACIMA REF.","")))))</f>
        <v>#VALUE!</v>
      </c>
      <c r="AD78" t="str">
        <f ca="1">IF(C78&lt;=CRONO.NivelExibicao,MAX($AD$15:OFFSET(AD78,-1,0))+IF($C78&lt;&gt;1,1,MAX(1,COUNTIF([1]QCI!$A$13:$A$24,OFFSET($E78,-1,0)))),"")</f>
        <v/>
      </c>
      <c r="AE78" s="4" t="str">
        <f ca="1">IF(AND($C78="S",ORÇAMENTO.CodBarra&lt;&gt;""),IF(ORÇAMENTO.Fonte="",ORÇAMENTO.CodBarra,CONCATENATE(ORÇAMENTO.Fonte," ",ORÇAMENTO.CodBarra)))</f>
        <v>SINAPI 100324</v>
      </c>
      <c r="AF78" s="58" t="e">
        <f ca="1">IF(ISERROR(INDIRECT(ORÇAMENTO.BancoRef)),"(abra o arquivo 'Referência "&amp;Excel_BuiltIn_Database&amp;".xls)",IF(OR($C78&lt;&gt;"S",ORÇAMENTO.CodBarra=""),"(Sem Código)",IF(ISERROR(MATCH($AE78,INDIRECT(ORÇAMENTO.BancoRef),0)),"(Código não identificado nas referências)",MATCH($AE78,INDIRECT(ORÇAMENTO.BancoRef),0))))</f>
        <v>#VALUE!</v>
      </c>
      <c r="AG78" s="59" t="e">
        <f ca="1">ROUND(IF(DESONERACAO="sim",REFERENCIA.Desonerado,REFERENCIA.NaoDesonerado),2)</f>
        <v>#VALUE!</v>
      </c>
      <c r="AH78" s="60">
        <f t="shared" si="44"/>
        <v>0.2223</v>
      </c>
      <c r="AJ78" s="61">
        <v>5.13</v>
      </c>
      <c r="AL78" s="62"/>
      <c r="AM78" s="63" t="e">
        <f t="shared" ca="1" si="0"/>
        <v>#VALUE!</v>
      </c>
      <c r="AN78" s="64" t="e">
        <f t="shared" ca="1" si="45"/>
        <v>#VALUE!</v>
      </c>
    </row>
    <row r="79" spans="1:40" ht="38.25" x14ac:dyDescent="0.2">
      <c r="A79" t="str">
        <f t="shared" si="41"/>
        <v>S</v>
      </c>
      <c r="B79">
        <f t="shared" ca="1" si="46"/>
        <v>4</v>
      </c>
      <c r="C79" t="str">
        <f t="shared" ca="1" si="47"/>
        <v>S</v>
      </c>
      <c r="D79">
        <f t="shared" ca="1" si="48"/>
        <v>0</v>
      </c>
      <c r="E79" t="e">
        <f ca="1">IF($C79=1,OFFSET(E79,-1,0)+MAX(1,COUNTIF([1]QCI!$A$13:$A$24,OFFSET('PLANILHA A LICITAR'!E79,-1,0))),OFFSET(E79,-1,0))</f>
        <v>#VALUE!</v>
      </c>
      <c r="F79">
        <f t="shared" ca="1" si="49"/>
        <v>2</v>
      </c>
      <c r="G79">
        <f t="shared" ca="1" si="50"/>
        <v>5</v>
      </c>
      <c r="H79">
        <f t="shared" ca="1" si="51"/>
        <v>4</v>
      </c>
      <c r="I79" t="e">
        <f t="shared" ca="1" si="52"/>
        <v>#VALUE!</v>
      </c>
      <c r="J79">
        <f t="shared" ca="1" si="9"/>
        <v>0</v>
      </c>
      <c r="K79">
        <f ca="1">IF(OR($C79="S",$C79=0),0,MATCH(OFFSET($D79,0,$C79)+IF($C79&lt;&gt;1,1,COUNTIF([1]QCI!$A$13:$A$24,'PLANILHA A LICITAR'!E79)),OFFSET($D79,1,$C79,ROW($C$145)-ROW($C79)),0))</f>
        <v>0</v>
      </c>
      <c r="L79" s="42" t="e">
        <f t="shared" ca="1" si="53"/>
        <v>#VALUE!</v>
      </c>
      <c r="M79" s="43" t="s">
        <v>7</v>
      </c>
      <c r="N79" s="44" t="str">
        <f t="shared" ca="1" si="54"/>
        <v>Serviço</v>
      </c>
      <c r="O79" s="45" t="e">
        <f t="shared" ca="1" si="55"/>
        <v>#VALUE!</v>
      </c>
      <c r="P79" s="46" t="s">
        <v>62</v>
      </c>
      <c r="Q79" s="47" t="s">
        <v>136</v>
      </c>
      <c r="R79" s="48" t="s">
        <v>137</v>
      </c>
      <c r="S79" s="49" t="s">
        <v>78</v>
      </c>
      <c r="T79" s="50" t="e">
        <f ca="1">OFFSET([1]CÁLCULO!H$15,ROW($T79)-ROW(T$15),0)</f>
        <v>#VALUE!</v>
      </c>
      <c r="U79" s="51" t="e">
        <f t="shared" ca="1" si="58"/>
        <v>#VALUE!</v>
      </c>
      <c r="V79" s="52" t="s">
        <v>10</v>
      </c>
      <c r="W79" s="50" t="e">
        <f ca="1">IF($C79="S",ROUND(IF(TIPOORCAMENTO="Proposto",ORÇAMENTO.CustoUnitario*(1+$AH79),ORÇAMENTO.PrecoUnitarioLicitado),15-13*$AF$10),0)</f>
        <v>#VALUE!</v>
      </c>
      <c r="X79" s="53" t="e">
        <f t="shared" ca="1" si="42"/>
        <v>#VALUE!</v>
      </c>
      <c r="Y79" s="54" t="s">
        <v>63</v>
      </c>
      <c r="Z79" t="e">
        <f t="shared" ca="1" si="56"/>
        <v>#VALUE!</v>
      </c>
      <c r="AA79" s="55" t="e">
        <f ca="1">IF($C79="S",IF($Z79="CP",$X79,IF($Z79="RA",(($X79)*[1]QCI!$AA$3),0)),SomaAgrup)</f>
        <v>#VALUE!</v>
      </c>
      <c r="AB79" s="56" t="e">
        <f t="shared" ca="1" si="43"/>
        <v>#VALUE!</v>
      </c>
      <c r="AC79" s="57" t="e">
        <f ca="1">IF($N79="","",IF(ORÇAMENTO.Descricao="","DESCRIÇÃO",IF(AND($C79="S",ORÇAMENTO.Unidade=""),"UNIDADE",IF($X79&lt;0,"VALOR NEGATIVO",IF(OR(AND(TIPOORCAMENTO="Proposto",$AG79&lt;&gt;"",$AG79&gt;0,ORÇAMENTO.CustoUnitario&gt;$AG79),AND(TIPOORCAMENTO="LICITADO",ORÇAMENTO.PrecoUnitarioLicitado&gt;$AN79)),"ACIMA REF.","")))))</f>
        <v>#VALUE!</v>
      </c>
      <c r="AD79" t="str">
        <f ca="1">IF(C79&lt;=CRONO.NivelExibicao,MAX($AD$15:OFFSET(AD79,-1,0))+IF($C79&lt;&gt;1,1,MAX(1,COUNTIF([1]QCI!$A$13:$A$24,OFFSET($E79,-1,0)))),"")</f>
        <v/>
      </c>
      <c r="AE79" s="4" t="str">
        <f ca="1">IF(AND($C79="S",ORÇAMENTO.CodBarra&lt;&gt;""),IF(ORÇAMENTO.Fonte="",ORÇAMENTO.CodBarra,CONCATENATE(ORÇAMENTO.Fonte," ",ORÇAMENTO.CodBarra)))</f>
        <v>SINAPI 94971</v>
      </c>
      <c r="AF79" s="58" t="e">
        <f ca="1">IF(ISERROR(INDIRECT(ORÇAMENTO.BancoRef)),"(abra o arquivo 'Referência "&amp;Excel_BuiltIn_Database&amp;".xls)",IF(OR($C79&lt;&gt;"S",ORÇAMENTO.CodBarra=""),"(Sem Código)",IF(ISERROR(MATCH($AE79,INDIRECT(ORÇAMENTO.BancoRef),0)),"(Código não identificado nas referências)",MATCH($AE79,INDIRECT(ORÇAMENTO.BancoRef),0))))</f>
        <v>#VALUE!</v>
      </c>
      <c r="AG79" s="59" t="e">
        <f ca="1">ROUND(IF(DESONERACAO="sim",REFERENCIA.Desonerado,REFERENCIA.NaoDesonerado),2)</f>
        <v>#VALUE!</v>
      </c>
      <c r="AH79" s="60">
        <f t="shared" si="44"/>
        <v>0.2223</v>
      </c>
      <c r="AJ79" s="61">
        <v>7.18</v>
      </c>
      <c r="AL79" s="62"/>
      <c r="AM79" s="63" t="e">
        <f t="shared" ca="1" si="0"/>
        <v>#VALUE!</v>
      </c>
      <c r="AN79" s="64" t="e">
        <f t="shared" ca="1" si="45"/>
        <v>#VALUE!</v>
      </c>
    </row>
    <row r="80" spans="1:40" x14ac:dyDescent="0.2">
      <c r="A80">
        <f t="shared" si="41"/>
        <v>4</v>
      </c>
      <c r="B80">
        <f t="shared" ca="1" si="46"/>
        <v>4</v>
      </c>
      <c r="C80">
        <f t="shared" ca="1" si="47"/>
        <v>4</v>
      </c>
      <c r="D80">
        <f t="shared" ca="1" si="48"/>
        <v>2</v>
      </c>
      <c r="E80" t="e">
        <f ca="1">IF($C80=1,OFFSET(E80,-1,0)+MAX(1,COUNTIF([1]QCI!$A$13:$A$24,OFFSET('PLANILHA A LICITAR'!E80,-1,0))),OFFSET(E80,-1,0))</f>
        <v>#VALUE!</v>
      </c>
      <c r="F80">
        <f t="shared" ca="1" si="49"/>
        <v>2</v>
      </c>
      <c r="G80">
        <f t="shared" ca="1" si="50"/>
        <v>5</v>
      </c>
      <c r="H80">
        <f t="shared" ca="1" si="51"/>
        <v>5</v>
      </c>
      <c r="I80">
        <f t="shared" ca="1" si="52"/>
        <v>0</v>
      </c>
      <c r="J80">
        <f t="shared" ref="J80:J143" ca="1" si="59">IF(OR($C80="S",$C80=0),0,MATCH(0,OFFSET($D80,1,$C80,ROW($C$145)-ROW($C80)),0))</f>
        <v>5</v>
      </c>
      <c r="K80">
        <f ca="1">IF(OR($C80="S",$C80=0),0,MATCH(OFFSET($D80,0,$C80)+IF($C80&lt;&gt;1,1,COUNTIF([1]QCI!$A$13:$A$24,'PLANILHA A LICITAR'!E80)),OFFSET($D80,1,$C80,ROW($C$145)-ROW($C80)),0))</f>
        <v>2</v>
      </c>
      <c r="L80" s="42" t="e">
        <f t="shared" ca="1" si="53"/>
        <v>#VALUE!</v>
      </c>
      <c r="M80" s="43" t="s">
        <v>6</v>
      </c>
      <c r="N80" s="44" t="str">
        <f t="shared" ca="1" si="54"/>
        <v>Nível 4</v>
      </c>
      <c r="O80" s="45" t="e">
        <f t="shared" ca="1" si="55"/>
        <v>#VALUE!</v>
      </c>
      <c r="P80" s="46" t="s">
        <v>62</v>
      </c>
      <c r="Q80" s="47"/>
      <c r="R80" s="48" t="s">
        <v>110</v>
      </c>
      <c r="S80" s="49" t="s">
        <v>67</v>
      </c>
      <c r="T80" s="50" t="e">
        <f ca="1">OFFSET([1]CÁLCULO!H$15,ROW($T80)-ROW(T$15),0)</f>
        <v>#VALUE!</v>
      </c>
      <c r="U80" s="51"/>
      <c r="V80" s="52" t="s">
        <v>10</v>
      </c>
      <c r="W80" s="50">
        <f ca="1">IF($C80="S",ROUND(IF(TIPOORCAMENTO="Proposto",ORÇAMENTO.CustoUnitario*(1+$AH80),ORÇAMENTO.PrecoUnitarioLicitado),15-13*$AF$10),0)</f>
        <v>0</v>
      </c>
      <c r="X80" s="53" t="e">
        <f t="shared" ca="1" si="42"/>
        <v>#VALUE!</v>
      </c>
      <c r="Y80" s="54" t="s">
        <v>63</v>
      </c>
      <c r="Z80" t="e">
        <f t="shared" ca="1" si="56"/>
        <v>#VALUE!</v>
      </c>
      <c r="AA80" s="55" t="e">
        <f ca="1">IF($C80="S",IF($Z80="CP",$X80,IF($Z80="RA",(($X80)*[1]QCI!$AA$3),0)),SomaAgrup)</f>
        <v>#VALUE!</v>
      </c>
      <c r="AB80" s="56" t="e">
        <f t="shared" ca="1" si="43"/>
        <v>#VALUE!</v>
      </c>
      <c r="AC80" s="57" t="e">
        <f ca="1">IF($N80="","",IF(ORÇAMENTO.Descricao="","DESCRIÇÃO",IF(AND($C80="S",ORÇAMENTO.Unidade=""),"UNIDADE",IF($X80&lt;0,"VALOR NEGATIVO",IF(OR(AND(TIPOORCAMENTO="Proposto",$AG80&lt;&gt;"",$AG80&gt;0,ORÇAMENTO.CustoUnitario&gt;$AG80),AND(TIPOORCAMENTO="LICITADO",ORÇAMENTO.PrecoUnitarioLicitado&gt;$AN80)),"ACIMA REF.","")))))</f>
        <v>#VALUE!</v>
      </c>
      <c r="AD80" t="str">
        <f ca="1">IF(C80&lt;=CRONO.NivelExibicao,MAX($AD$15:OFFSET(AD80,-1,0))+IF($C80&lt;&gt;1,1,MAX(1,COUNTIF([1]QCI!$A$13:$A$24,OFFSET($E80,-1,0)))),"")</f>
        <v/>
      </c>
      <c r="AE80" s="4" t="b">
        <f ca="1">IF(AND($C80="S",ORÇAMENTO.CodBarra&lt;&gt;""),IF(ORÇAMENTO.Fonte="",ORÇAMENTO.CodBarra,CONCATENATE(ORÇAMENTO.Fonte," ",ORÇAMENTO.CodBarra)))</f>
        <v>0</v>
      </c>
      <c r="AF80" s="58" t="e">
        <f ca="1">IF(ISERROR(INDIRECT(ORÇAMENTO.BancoRef)),"(abra o arquivo 'Referência "&amp;Excel_BuiltIn_Database&amp;".xls)",IF(OR($C80&lt;&gt;"S",ORÇAMENTO.CodBarra=""),"(Sem Código)",IF(ISERROR(MATCH($AE80,INDIRECT(ORÇAMENTO.BancoRef),0)),"(Código não identificado nas referências)",MATCH($AE80,INDIRECT(ORÇAMENTO.BancoRef),0))))</f>
        <v>#VALUE!</v>
      </c>
      <c r="AG80" s="59" t="e">
        <f ca="1">ROUND(IF(DESONERACAO="sim",REFERENCIA.Desonerado,REFERENCIA.NaoDesonerado),2)</f>
        <v>#VALUE!</v>
      </c>
      <c r="AH80" s="60">
        <f t="shared" si="44"/>
        <v>0.2223</v>
      </c>
      <c r="AJ80" s="61"/>
      <c r="AL80" s="62"/>
      <c r="AM80" s="63" t="e">
        <f t="shared" ca="1" si="0"/>
        <v>#VALUE!</v>
      </c>
      <c r="AN80" s="64">
        <f t="shared" si="45"/>
        <v>0</v>
      </c>
    </row>
    <row r="81" spans="1:40" ht="38.25" x14ac:dyDescent="0.2">
      <c r="A81" t="str">
        <f t="shared" si="41"/>
        <v>S</v>
      </c>
      <c r="B81">
        <f t="shared" ca="1" si="46"/>
        <v>4</v>
      </c>
      <c r="C81" t="str">
        <f t="shared" ca="1" si="47"/>
        <v>S</v>
      </c>
      <c r="D81">
        <f t="shared" ca="1" si="48"/>
        <v>0</v>
      </c>
      <c r="E81" t="e">
        <f ca="1">IF($C81=1,OFFSET(E81,-1,0)+MAX(1,COUNTIF([1]QCI!$A$13:$A$24,OFFSET('PLANILHA A LICITAR'!E81,-1,0))),OFFSET(E81,-1,0))</f>
        <v>#VALUE!</v>
      </c>
      <c r="F81">
        <f t="shared" ca="1" si="49"/>
        <v>2</v>
      </c>
      <c r="G81">
        <f t="shared" ca="1" si="50"/>
        <v>5</v>
      </c>
      <c r="H81">
        <f t="shared" ca="1" si="51"/>
        <v>5</v>
      </c>
      <c r="I81" t="e">
        <f t="shared" ca="1" si="52"/>
        <v>#VALUE!</v>
      </c>
      <c r="J81">
        <f t="shared" ca="1" si="59"/>
        <v>0</v>
      </c>
      <c r="K81">
        <f ca="1">IF(OR($C81="S",$C81=0),0,MATCH(OFFSET($D81,0,$C81)+IF($C81&lt;&gt;1,1,COUNTIF([1]QCI!$A$13:$A$24,'PLANILHA A LICITAR'!E81)),OFFSET($D81,1,$C81,ROW($C$145)-ROW($C81)),0))</f>
        <v>0</v>
      </c>
      <c r="L81" s="42" t="e">
        <f t="shared" ca="1" si="53"/>
        <v>#VALUE!</v>
      </c>
      <c r="M81" s="43" t="s">
        <v>7</v>
      </c>
      <c r="N81" s="44" t="str">
        <f t="shared" ca="1" si="54"/>
        <v>Serviço</v>
      </c>
      <c r="O81" s="45" t="e">
        <f t="shared" ca="1" si="55"/>
        <v>#VALUE!</v>
      </c>
      <c r="P81" s="46" t="s">
        <v>62</v>
      </c>
      <c r="Q81" s="47">
        <v>91341</v>
      </c>
      <c r="R81" s="48" t="s">
        <v>111</v>
      </c>
      <c r="S81" s="49" t="s">
        <v>75</v>
      </c>
      <c r="T81" s="50" t="e">
        <f ca="1">OFFSET([1]CÁLCULO!H$15,ROW($T81)-ROW(T$15),0)</f>
        <v>#VALUE!</v>
      </c>
      <c r="U81" s="51" t="e">
        <f t="shared" ca="1" si="58"/>
        <v>#VALUE!</v>
      </c>
      <c r="V81" s="52" t="s">
        <v>10</v>
      </c>
      <c r="W81" s="50" t="e">
        <f ca="1">IF($C81="S",ROUND(IF(TIPOORCAMENTO="Proposto",ORÇAMENTO.CustoUnitario*(1+$AH81),ORÇAMENTO.PrecoUnitarioLicitado),15-13*$AF$10),0)</f>
        <v>#VALUE!</v>
      </c>
      <c r="X81" s="53" t="e">
        <f t="shared" ca="1" si="42"/>
        <v>#VALUE!</v>
      </c>
      <c r="Y81" s="54" t="s">
        <v>63</v>
      </c>
      <c r="Z81" t="e">
        <f t="shared" ca="1" si="56"/>
        <v>#VALUE!</v>
      </c>
      <c r="AA81" s="55" t="e">
        <f ca="1">IF($C81="S",IF($Z81="CP",$X81,IF($Z81="RA",(($X81)*[1]QCI!$AA$3),0)),SomaAgrup)</f>
        <v>#VALUE!</v>
      </c>
      <c r="AB81" s="56" t="e">
        <f t="shared" ca="1" si="43"/>
        <v>#VALUE!</v>
      </c>
      <c r="AC81" s="57" t="e">
        <f ca="1">IF($N81="","",IF(ORÇAMENTO.Descricao="","DESCRIÇÃO",IF(AND($C81="S",ORÇAMENTO.Unidade=""),"UNIDADE",IF($X81&lt;0,"VALOR NEGATIVO",IF(OR(AND(TIPOORCAMENTO="Proposto",$AG81&lt;&gt;"",$AG81&gt;0,ORÇAMENTO.CustoUnitario&gt;$AG81),AND(TIPOORCAMENTO="LICITADO",ORÇAMENTO.PrecoUnitarioLicitado&gt;$AN81)),"ACIMA REF.","")))))</f>
        <v>#VALUE!</v>
      </c>
      <c r="AD81" t="str">
        <f ca="1">IF(C81&lt;=CRONO.NivelExibicao,MAX($AD$15:OFFSET(AD81,-1,0))+IF($C81&lt;&gt;1,1,MAX(1,COUNTIF([1]QCI!$A$13:$A$24,OFFSET($E81,-1,0)))),"")</f>
        <v/>
      </c>
      <c r="AE81" s="4" t="str">
        <f ca="1">IF(AND($C81="S",ORÇAMENTO.CodBarra&lt;&gt;""),IF(ORÇAMENTO.Fonte="",ORÇAMENTO.CodBarra,CONCATENATE(ORÇAMENTO.Fonte," ",ORÇAMENTO.CodBarra)))</f>
        <v>SINAPI 91341</v>
      </c>
      <c r="AF81" s="58" t="e">
        <f ca="1">IF(ISERROR(INDIRECT(ORÇAMENTO.BancoRef)),"(abra o arquivo 'Referência "&amp;Excel_BuiltIn_Database&amp;".xls)",IF(OR($C81&lt;&gt;"S",ORÇAMENTO.CodBarra=""),"(Sem Código)",IF(ISERROR(MATCH($AE81,INDIRECT(ORÇAMENTO.BancoRef),0)),"(Código não identificado nas referências)",MATCH($AE81,INDIRECT(ORÇAMENTO.BancoRef),0))))</f>
        <v>#VALUE!</v>
      </c>
      <c r="AG81" s="59" t="e">
        <f ca="1">ROUND(IF(DESONERACAO="sim",REFERENCIA.Desonerado,REFERENCIA.NaoDesonerado),2)</f>
        <v>#VALUE!</v>
      </c>
      <c r="AH81" s="60">
        <f t="shared" si="44"/>
        <v>0.2223</v>
      </c>
      <c r="AJ81" s="61">
        <v>5.12</v>
      </c>
      <c r="AL81" s="62"/>
      <c r="AM81" s="63" t="e">
        <f t="shared" ca="1" si="0"/>
        <v>#VALUE!</v>
      </c>
      <c r="AN81" s="64" t="e">
        <f t="shared" ca="1" si="45"/>
        <v>#VALUE!</v>
      </c>
    </row>
    <row r="82" spans="1:40" x14ac:dyDescent="0.2">
      <c r="A82">
        <f t="shared" si="41"/>
        <v>4</v>
      </c>
      <c r="B82">
        <f t="shared" ca="1" si="46"/>
        <v>4</v>
      </c>
      <c r="C82">
        <f t="shared" ca="1" si="47"/>
        <v>4</v>
      </c>
      <c r="D82">
        <f t="shared" ca="1" si="48"/>
        <v>3</v>
      </c>
      <c r="E82" t="e">
        <f ca="1">IF($C82=1,OFFSET(E82,-1,0)+MAX(1,COUNTIF([1]QCI!$A$13:$A$24,OFFSET('PLANILHA A LICITAR'!E82,-1,0))),OFFSET(E82,-1,0))</f>
        <v>#VALUE!</v>
      </c>
      <c r="F82">
        <f t="shared" ca="1" si="49"/>
        <v>2</v>
      </c>
      <c r="G82">
        <f t="shared" ca="1" si="50"/>
        <v>5</v>
      </c>
      <c r="H82">
        <f t="shared" ca="1" si="51"/>
        <v>6</v>
      </c>
      <c r="I82">
        <f t="shared" ca="1" si="52"/>
        <v>0</v>
      </c>
      <c r="J82">
        <f t="shared" ca="1" si="59"/>
        <v>3</v>
      </c>
      <c r="K82" t="e">
        <f ca="1">IF(OR($C82="S",$C82=0),0,MATCH(OFFSET($D82,0,$C82)+IF($C82&lt;&gt;1,1,COUNTIF([1]QCI!$A$13:$A$24,'PLANILHA A LICITAR'!E82)),OFFSET($D82,1,$C82,ROW($C$145)-ROW($C82)),0))</f>
        <v>#N/A</v>
      </c>
      <c r="L82" s="42" t="e">
        <f t="shared" ca="1" si="53"/>
        <v>#VALUE!</v>
      </c>
      <c r="M82" s="43" t="s">
        <v>6</v>
      </c>
      <c r="N82" s="44" t="str">
        <f t="shared" ca="1" si="54"/>
        <v>Nível 4</v>
      </c>
      <c r="O82" s="45" t="e">
        <f t="shared" ca="1" si="55"/>
        <v>#VALUE!</v>
      </c>
      <c r="P82" s="46" t="s">
        <v>62</v>
      </c>
      <c r="Q82" s="47"/>
      <c r="R82" s="48" t="s">
        <v>100</v>
      </c>
      <c r="S82" s="49" t="s">
        <v>67</v>
      </c>
      <c r="T82" s="50" t="e">
        <f ca="1">OFFSET([1]CÁLCULO!H$15,ROW($T82)-ROW(T$15),0)</f>
        <v>#VALUE!</v>
      </c>
      <c r="U82" s="51"/>
      <c r="V82" s="52" t="s">
        <v>10</v>
      </c>
      <c r="W82" s="50">
        <f ca="1">IF($C82="S",ROUND(IF(TIPOORCAMENTO="Proposto",ORÇAMENTO.CustoUnitario*(1+$AH82),ORÇAMENTO.PrecoUnitarioLicitado),15-13*$AF$10),0)</f>
        <v>0</v>
      </c>
      <c r="X82" s="53" t="e">
        <f t="shared" ca="1" si="42"/>
        <v>#VALUE!</v>
      </c>
      <c r="Y82" s="54" t="s">
        <v>63</v>
      </c>
      <c r="Z82" t="e">
        <f t="shared" ca="1" si="56"/>
        <v>#VALUE!</v>
      </c>
      <c r="AA82" s="55" t="e">
        <f ca="1">IF($C82="S",IF($Z82="CP",$X82,IF($Z82="RA",(($X82)*[1]QCI!$AA$3),0)),SomaAgrup)</f>
        <v>#VALUE!</v>
      </c>
      <c r="AB82" s="56" t="e">
        <f t="shared" ca="1" si="43"/>
        <v>#VALUE!</v>
      </c>
      <c r="AC82" s="57" t="e">
        <f ca="1">IF($N82="","",IF(ORÇAMENTO.Descricao="","DESCRIÇÃO",IF(AND($C82="S",ORÇAMENTO.Unidade=""),"UNIDADE",IF($X82&lt;0,"VALOR NEGATIVO",IF(OR(AND(TIPOORCAMENTO="Proposto",$AG82&lt;&gt;"",$AG82&gt;0,ORÇAMENTO.CustoUnitario&gt;$AG82),AND(TIPOORCAMENTO="LICITADO",ORÇAMENTO.PrecoUnitarioLicitado&gt;$AN82)),"ACIMA REF.","")))))</f>
        <v>#VALUE!</v>
      </c>
      <c r="AD82" t="str">
        <f ca="1">IF(C82&lt;=CRONO.NivelExibicao,MAX($AD$15:OFFSET(AD82,-1,0))+IF($C82&lt;&gt;1,1,MAX(1,COUNTIF([1]QCI!$A$13:$A$24,OFFSET($E82,-1,0)))),"")</f>
        <v/>
      </c>
      <c r="AE82" s="4" t="b">
        <f ca="1">IF(AND($C82="S",ORÇAMENTO.CodBarra&lt;&gt;""),IF(ORÇAMENTO.Fonte="",ORÇAMENTO.CodBarra,CONCATENATE(ORÇAMENTO.Fonte," ",ORÇAMENTO.CodBarra)))</f>
        <v>0</v>
      </c>
      <c r="AF82" s="58" t="e">
        <f ca="1">IF(ISERROR(INDIRECT(ORÇAMENTO.BancoRef)),"(abra o arquivo 'Referência "&amp;Excel_BuiltIn_Database&amp;".xls)",IF(OR($C82&lt;&gt;"S",ORÇAMENTO.CodBarra=""),"(Sem Código)",IF(ISERROR(MATCH($AE82,INDIRECT(ORÇAMENTO.BancoRef),0)),"(Código não identificado nas referências)",MATCH($AE82,INDIRECT(ORÇAMENTO.BancoRef),0))))</f>
        <v>#VALUE!</v>
      </c>
      <c r="AG82" s="59" t="e">
        <f ca="1">ROUND(IF(DESONERACAO="sim",REFERENCIA.Desonerado,REFERENCIA.NaoDesonerado),2)</f>
        <v>#VALUE!</v>
      </c>
      <c r="AH82" s="60">
        <f t="shared" si="44"/>
        <v>0.2223</v>
      </c>
      <c r="AJ82" s="61"/>
      <c r="AL82" s="62"/>
      <c r="AM82" s="63" t="e">
        <f t="shared" ca="1" si="0"/>
        <v>#VALUE!</v>
      </c>
      <c r="AN82" s="64">
        <f t="shared" si="45"/>
        <v>0</v>
      </c>
    </row>
    <row r="83" spans="1:40" ht="38.25" x14ac:dyDescent="0.2">
      <c r="A83" t="str">
        <f t="shared" si="41"/>
        <v>S</v>
      </c>
      <c r="B83">
        <f t="shared" ca="1" si="46"/>
        <v>4</v>
      </c>
      <c r="C83" t="str">
        <f t="shared" ca="1" si="47"/>
        <v>S</v>
      </c>
      <c r="D83">
        <f t="shared" ca="1" si="48"/>
        <v>0</v>
      </c>
      <c r="E83" t="e">
        <f ca="1">IF($C83=1,OFFSET(E83,-1,0)+MAX(1,COUNTIF([1]QCI!$A$13:$A$24,OFFSET('PLANILHA A LICITAR'!E83,-1,0))),OFFSET(E83,-1,0))</f>
        <v>#VALUE!</v>
      </c>
      <c r="F83">
        <f t="shared" ca="1" si="49"/>
        <v>2</v>
      </c>
      <c r="G83">
        <f t="shared" ca="1" si="50"/>
        <v>5</v>
      </c>
      <c r="H83">
        <f t="shared" ca="1" si="51"/>
        <v>6</v>
      </c>
      <c r="I83" t="e">
        <f t="shared" ca="1" si="52"/>
        <v>#VALUE!</v>
      </c>
      <c r="J83">
        <f t="shared" ca="1" si="59"/>
        <v>0</v>
      </c>
      <c r="K83">
        <f ca="1">IF(OR($C83="S",$C83=0),0,MATCH(OFFSET($D83,0,$C83)+IF($C83&lt;&gt;1,1,COUNTIF([1]QCI!$A$13:$A$24,'PLANILHA A LICITAR'!E83)),OFFSET($D83,1,$C83,ROW($C$145)-ROW($C83)),0))</f>
        <v>0</v>
      </c>
      <c r="L83" s="42" t="e">
        <f t="shared" ca="1" si="53"/>
        <v>#VALUE!</v>
      </c>
      <c r="M83" s="43" t="s">
        <v>7</v>
      </c>
      <c r="N83" s="44" t="str">
        <f t="shared" ca="1" si="54"/>
        <v>Serviço</v>
      </c>
      <c r="O83" s="45" t="e">
        <f t="shared" ca="1" si="55"/>
        <v>#VALUE!</v>
      </c>
      <c r="P83" s="46" t="s">
        <v>62</v>
      </c>
      <c r="Q83" s="47">
        <v>87878</v>
      </c>
      <c r="R83" s="48" t="s">
        <v>101</v>
      </c>
      <c r="S83" s="49" t="s">
        <v>75</v>
      </c>
      <c r="T83" s="50" t="e">
        <f ca="1">OFFSET([1]CÁLCULO!H$15,ROW($T83)-ROW(T$15),0)</f>
        <v>#VALUE!</v>
      </c>
      <c r="U83" s="51" t="e">
        <f ca="1">AG83</f>
        <v>#VALUE!</v>
      </c>
      <c r="V83" s="52" t="s">
        <v>10</v>
      </c>
      <c r="W83" s="50" t="e">
        <f ca="1">IF($C83="S",ROUND(IF(TIPOORCAMENTO="Proposto",ORÇAMENTO.CustoUnitario*(1+$AH83),ORÇAMENTO.PrecoUnitarioLicitado),15-13*$AF$10),0)</f>
        <v>#VALUE!</v>
      </c>
      <c r="X83" s="53" t="e">
        <f t="shared" ca="1" si="42"/>
        <v>#VALUE!</v>
      </c>
      <c r="Y83" s="54" t="s">
        <v>63</v>
      </c>
      <c r="Z83" t="e">
        <f t="shared" ca="1" si="56"/>
        <v>#VALUE!</v>
      </c>
      <c r="AA83" s="55" t="e">
        <f ca="1">IF($C83="S",IF($Z83="CP",$X83,IF($Z83="RA",(($X83)*[1]QCI!$AA$3),0)),SomaAgrup)</f>
        <v>#VALUE!</v>
      </c>
      <c r="AB83" s="56" t="e">
        <f t="shared" ca="1" si="43"/>
        <v>#VALUE!</v>
      </c>
      <c r="AC83" s="57" t="e">
        <f ca="1">IF($N83="","",IF(ORÇAMENTO.Descricao="","DESCRIÇÃO",IF(AND($C83="S",ORÇAMENTO.Unidade=""),"UNIDADE",IF($X83&lt;0,"VALOR NEGATIVO",IF(OR(AND(TIPOORCAMENTO="Proposto",$AG83&lt;&gt;"",$AG83&gt;0,ORÇAMENTO.CustoUnitario&gt;$AG83),AND(TIPOORCAMENTO="LICITADO",ORÇAMENTO.PrecoUnitarioLicitado&gt;$AN83)),"ACIMA REF.","")))))</f>
        <v>#VALUE!</v>
      </c>
      <c r="AD83" t="str">
        <f ca="1">IF(C83&lt;=CRONO.NivelExibicao,MAX($AD$15:OFFSET(AD83,-1,0))+IF($C83&lt;&gt;1,1,MAX(1,COUNTIF([1]QCI!$A$13:$A$24,OFFSET($E83,-1,0)))),"")</f>
        <v/>
      </c>
      <c r="AE83" s="4" t="str">
        <f ca="1">IF(AND($C83="S",ORÇAMENTO.CodBarra&lt;&gt;""),IF(ORÇAMENTO.Fonte="",ORÇAMENTO.CodBarra,CONCATENATE(ORÇAMENTO.Fonte," ",ORÇAMENTO.CodBarra)))</f>
        <v>SINAPI 87878</v>
      </c>
      <c r="AF83" s="58" t="e">
        <f ca="1">IF(ISERROR(INDIRECT(ORÇAMENTO.BancoRef)),"(abra o arquivo 'Referência "&amp;Excel_BuiltIn_Database&amp;".xls)",IF(OR($C83&lt;&gt;"S",ORÇAMENTO.CodBarra=""),"(Sem Código)",IF(ISERROR(MATCH($AE83,INDIRECT(ORÇAMENTO.BancoRef),0)),"(Código não identificado nas referências)",MATCH($AE83,INDIRECT(ORÇAMENTO.BancoRef),0))))</f>
        <v>#VALUE!</v>
      </c>
      <c r="AG83" s="59" t="e">
        <f ca="1">ROUND(IF(DESONERACAO="sim",REFERENCIA.Desonerado,REFERENCIA.NaoDesonerado),2)</f>
        <v>#VALUE!</v>
      </c>
      <c r="AH83" s="60">
        <f t="shared" si="44"/>
        <v>0.2223</v>
      </c>
      <c r="AJ83" s="61">
        <v>107.44</v>
      </c>
      <c r="AL83" s="62"/>
      <c r="AM83" s="63" t="e">
        <f t="shared" ca="1" si="0"/>
        <v>#VALUE!</v>
      </c>
      <c r="AN83" s="64" t="e">
        <f t="shared" ca="1" si="45"/>
        <v>#VALUE!</v>
      </c>
    </row>
    <row r="84" spans="1:40" ht="51" x14ac:dyDescent="0.2">
      <c r="A84" t="str">
        <f t="shared" si="41"/>
        <v>S</v>
      </c>
      <c r="B84">
        <f t="shared" ca="1" si="46"/>
        <v>4</v>
      </c>
      <c r="C84" t="str">
        <f t="shared" ca="1" si="47"/>
        <v>S</v>
      </c>
      <c r="D84">
        <f t="shared" ca="1" si="48"/>
        <v>0</v>
      </c>
      <c r="E84" t="e">
        <f ca="1">IF($C84=1,OFFSET(E84,-1,0)+MAX(1,COUNTIF([1]QCI!$A$13:$A$24,OFFSET('PLANILHA A LICITAR'!E84,-1,0))),OFFSET(E84,-1,0))</f>
        <v>#VALUE!</v>
      </c>
      <c r="F84">
        <f t="shared" ca="1" si="49"/>
        <v>2</v>
      </c>
      <c r="G84">
        <f t="shared" ca="1" si="50"/>
        <v>5</v>
      </c>
      <c r="H84">
        <f t="shared" ca="1" si="51"/>
        <v>6</v>
      </c>
      <c r="I84" t="e">
        <f t="shared" ca="1" si="52"/>
        <v>#VALUE!</v>
      </c>
      <c r="J84">
        <f t="shared" ca="1" si="59"/>
        <v>0</v>
      </c>
      <c r="K84">
        <f ca="1">IF(OR($C84="S",$C84=0),0,MATCH(OFFSET($D84,0,$C84)+IF($C84&lt;&gt;1,1,COUNTIF([1]QCI!$A$13:$A$24,'PLANILHA A LICITAR'!E84)),OFFSET($D84,1,$C84,ROW($C$145)-ROW($C84)),0))</f>
        <v>0</v>
      </c>
      <c r="L84" s="42" t="e">
        <f t="shared" ca="1" si="53"/>
        <v>#VALUE!</v>
      </c>
      <c r="M84" s="43" t="s">
        <v>7</v>
      </c>
      <c r="N84" s="44" t="str">
        <f t="shared" ca="1" si="54"/>
        <v>Serviço</v>
      </c>
      <c r="O84" s="45" t="e">
        <f t="shared" ca="1" si="55"/>
        <v>#VALUE!</v>
      </c>
      <c r="P84" s="46" t="s">
        <v>62</v>
      </c>
      <c r="Q84" s="47">
        <v>87529</v>
      </c>
      <c r="R84" s="48" t="s">
        <v>102</v>
      </c>
      <c r="S84" s="49" t="s">
        <v>75</v>
      </c>
      <c r="T84" s="50" t="e">
        <f ca="1">OFFSET([1]CÁLCULO!H$15,ROW($T84)-ROW(T$15),0)</f>
        <v>#VALUE!</v>
      </c>
      <c r="U84" s="51" t="e">
        <f ca="1">AG84</f>
        <v>#VALUE!</v>
      </c>
      <c r="V84" s="52" t="s">
        <v>10</v>
      </c>
      <c r="W84" s="50" t="e">
        <f ca="1">IF($C84="S",ROUND(IF(TIPOORCAMENTO="Proposto",ORÇAMENTO.CustoUnitario*(1+$AH84),ORÇAMENTO.PrecoUnitarioLicitado),15-13*$AF$10),0)</f>
        <v>#VALUE!</v>
      </c>
      <c r="X84" s="53" t="e">
        <f t="shared" ca="1" si="42"/>
        <v>#VALUE!</v>
      </c>
      <c r="Y84" s="54" t="s">
        <v>63</v>
      </c>
      <c r="Z84" t="e">
        <f t="shared" ca="1" si="56"/>
        <v>#VALUE!</v>
      </c>
      <c r="AA84" s="55" t="e">
        <f ca="1">IF($C84="S",IF($Z84="CP",$X84,IF($Z84="RA",(($X84)*[1]QCI!$AA$3),0)),SomaAgrup)</f>
        <v>#VALUE!</v>
      </c>
      <c r="AB84" s="56" t="e">
        <f t="shared" ca="1" si="43"/>
        <v>#VALUE!</v>
      </c>
      <c r="AC84" s="57" t="e">
        <f ca="1">IF($N84="","",IF(ORÇAMENTO.Descricao="","DESCRIÇÃO",IF(AND($C84="S",ORÇAMENTO.Unidade=""),"UNIDADE",IF($X84&lt;0,"VALOR NEGATIVO",IF(OR(AND(TIPOORCAMENTO="Proposto",$AG84&lt;&gt;"",$AG84&gt;0,ORÇAMENTO.CustoUnitario&gt;$AG84),AND(TIPOORCAMENTO="LICITADO",ORÇAMENTO.PrecoUnitarioLicitado&gt;$AN84)),"ACIMA REF.","")))))</f>
        <v>#VALUE!</v>
      </c>
      <c r="AD84" t="str">
        <f ca="1">IF(C84&lt;=CRONO.NivelExibicao,MAX($AD$15:OFFSET(AD84,-1,0))+IF($C84&lt;&gt;1,1,MAX(1,COUNTIF([1]QCI!$A$13:$A$24,OFFSET($E84,-1,0)))),"")</f>
        <v/>
      </c>
      <c r="AE84" s="4" t="str">
        <f ca="1">IF(AND($C84="S",ORÇAMENTO.CodBarra&lt;&gt;""),IF(ORÇAMENTO.Fonte="",ORÇAMENTO.CodBarra,CONCATENATE(ORÇAMENTO.Fonte," ",ORÇAMENTO.CodBarra)))</f>
        <v>SINAPI 87529</v>
      </c>
      <c r="AF84" s="58" t="e">
        <f ca="1">IF(ISERROR(INDIRECT(ORÇAMENTO.BancoRef)),"(abra o arquivo 'Referência "&amp;Excel_BuiltIn_Database&amp;".xls)",IF(OR($C84&lt;&gt;"S",ORÇAMENTO.CodBarra=""),"(Sem Código)",IF(ISERROR(MATCH($AE84,INDIRECT(ORÇAMENTO.BancoRef),0)),"(Código não identificado nas referências)",MATCH($AE84,INDIRECT(ORÇAMENTO.BancoRef),0))))</f>
        <v>#VALUE!</v>
      </c>
      <c r="AG84" s="59" t="e">
        <f ca="1">ROUND(IF(DESONERACAO="sim",REFERENCIA.Desonerado,REFERENCIA.NaoDesonerado),2)</f>
        <v>#VALUE!</v>
      </c>
      <c r="AH84" s="60">
        <f t="shared" si="44"/>
        <v>0.2223</v>
      </c>
      <c r="AJ84" s="61">
        <v>107.44</v>
      </c>
      <c r="AL84" s="62"/>
      <c r="AM84" s="63" t="e">
        <f t="shared" ca="1" si="0"/>
        <v>#VALUE!</v>
      </c>
      <c r="AN84" s="64" t="e">
        <f t="shared" ca="1" si="45"/>
        <v>#VALUE!</v>
      </c>
    </row>
    <row r="85" spans="1:40" x14ac:dyDescent="0.2">
      <c r="A85">
        <f t="shared" si="41"/>
        <v>3</v>
      </c>
      <c r="B85">
        <f t="shared" ca="1" si="46"/>
        <v>3</v>
      </c>
      <c r="C85">
        <f t="shared" ca="1" si="47"/>
        <v>3</v>
      </c>
      <c r="D85">
        <f t="shared" ca="1" si="48"/>
        <v>15</v>
      </c>
      <c r="E85" t="e">
        <f ca="1">IF($C85=1,OFFSET(E85,-1,0)+MAX(1,COUNTIF([1]QCI!$A$13:$A$24,OFFSET('PLANILHA A LICITAR'!E85,-1,0))),OFFSET(E85,-1,0))</f>
        <v>#VALUE!</v>
      </c>
      <c r="F85">
        <f t="shared" ca="1" si="49"/>
        <v>2</v>
      </c>
      <c r="G85">
        <f t="shared" ca="1" si="50"/>
        <v>6</v>
      </c>
      <c r="H85">
        <f t="shared" ca="1" si="51"/>
        <v>0</v>
      </c>
      <c r="I85">
        <f t="shared" ca="1" si="52"/>
        <v>0</v>
      </c>
      <c r="J85">
        <f t="shared" ca="1" si="59"/>
        <v>60</v>
      </c>
      <c r="K85">
        <f ca="1">IF(OR($C85="S",$C85=0),0,MATCH(OFFSET($D85,0,$C85)+IF($C85&lt;&gt;1,1,COUNTIF([1]QCI!$A$13:$A$24,'PLANILHA A LICITAR'!E85)),OFFSET($D85,1,$C85,ROW($C$145)-ROW($C85)),0))</f>
        <v>15</v>
      </c>
      <c r="L85" s="42" t="e">
        <f t="shared" ca="1" si="53"/>
        <v>#VALUE!</v>
      </c>
      <c r="M85" s="43" t="s">
        <v>5</v>
      </c>
      <c r="N85" s="44" t="str">
        <f t="shared" ca="1" si="54"/>
        <v>Nível 3</v>
      </c>
      <c r="O85" s="45" t="e">
        <f t="shared" ca="1" si="55"/>
        <v>#VALUE!</v>
      </c>
      <c r="P85" s="46" t="s">
        <v>62</v>
      </c>
      <c r="Q85" s="47"/>
      <c r="R85" s="48" t="s">
        <v>160</v>
      </c>
      <c r="S85" s="49" t="s">
        <v>67</v>
      </c>
      <c r="T85" s="50" t="e">
        <f ca="1">OFFSET([1]CÁLCULO!H$15,ROW($T85)-ROW(T$15),0)</f>
        <v>#VALUE!</v>
      </c>
      <c r="U85" s="51"/>
      <c r="V85" s="52" t="s">
        <v>10</v>
      </c>
      <c r="W85" s="50">
        <f ca="1">IF($C85="S",ROUND(IF(TIPOORCAMENTO="Proposto",ORÇAMENTO.CustoUnitario*(1+$AH85),ORÇAMENTO.PrecoUnitarioLicitado),15-13*$AF$10),0)</f>
        <v>0</v>
      </c>
      <c r="X85" s="53" t="e">
        <f t="shared" ca="1" si="42"/>
        <v>#VALUE!</v>
      </c>
      <c r="Y85" s="54" t="s">
        <v>63</v>
      </c>
      <c r="Z85" t="e">
        <f t="shared" ca="1" si="56"/>
        <v>#VALUE!</v>
      </c>
      <c r="AA85" s="55" t="e">
        <f ca="1">IF($C85="S",IF($Z85="CP",$X85,IF($Z85="RA",(($X85)*[1]QCI!$AA$3),0)),SomaAgrup)</f>
        <v>#VALUE!</v>
      </c>
      <c r="AB85" s="56" t="e">
        <f t="shared" ca="1" si="43"/>
        <v>#VALUE!</v>
      </c>
      <c r="AC85" s="57" t="e">
        <f ca="1">IF($N85="","",IF(ORÇAMENTO.Descricao="","DESCRIÇÃO",IF(AND($C85="S",ORÇAMENTO.Unidade=""),"UNIDADE",IF($X85&lt;0,"VALOR NEGATIVO",IF(OR(AND(TIPOORCAMENTO="Proposto",$AG85&lt;&gt;"",$AG85&gt;0,ORÇAMENTO.CustoUnitario&gt;$AG85),AND(TIPOORCAMENTO="LICITADO",ORÇAMENTO.PrecoUnitarioLicitado&gt;$AN85)),"ACIMA REF.","")))))</f>
        <v>#VALUE!</v>
      </c>
      <c r="AD85" t="e">
        <f ca="1">IF(C85&lt;=CRONO.NivelExibicao,MAX($AD$15:OFFSET(AD85,-1,0))+IF($C85&lt;&gt;1,1,MAX(1,COUNTIF([1]QCI!$A$13:$A$24,OFFSET($E85,-1,0)))),"")</f>
        <v>#VALUE!</v>
      </c>
      <c r="AE85" s="4" t="b">
        <f ca="1">IF(AND($C85="S",ORÇAMENTO.CodBarra&lt;&gt;""),IF(ORÇAMENTO.Fonte="",ORÇAMENTO.CodBarra,CONCATENATE(ORÇAMENTO.Fonte," ",ORÇAMENTO.CodBarra)))</f>
        <v>0</v>
      </c>
      <c r="AF85" s="58" t="e">
        <f ca="1">IF(ISERROR(INDIRECT(ORÇAMENTO.BancoRef)),"(abra o arquivo 'Referência "&amp;Excel_BuiltIn_Database&amp;".xls)",IF(OR($C85&lt;&gt;"S",ORÇAMENTO.CodBarra=""),"(Sem Código)",IF(ISERROR(MATCH($AE85,INDIRECT(ORÇAMENTO.BancoRef),0)),"(Código não identificado nas referências)",MATCH($AE85,INDIRECT(ORÇAMENTO.BancoRef),0))))</f>
        <v>#VALUE!</v>
      </c>
      <c r="AG85" s="59" t="e">
        <f ca="1">ROUND(IF(DESONERACAO="sim",REFERENCIA.Desonerado,REFERENCIA.NaoDesonerado),2)</f>
        <v>#VALUE!</v>
      </c>
      <c r="AH85" s="60">
        <f t="shared" si="44"/>
        <v>0.2223</v>
      </c>
      <c r="AJ85" s="61"/>
      <c r="AL85" s="62"/>
      <c r="AM85" s="63" t="e">
        <f t="shared" ca="1" si="0"/>
        <v>#VALUE!</v>
      </c>
      <c r="AN85" s="64">
        <f t="shared" si="45"/>
        <v>0</v>
      </c>
    </row>
    <row r="86" spans="1:40" ht="51" x14ac:dyDescent="0.2">
      <c r="A86" t="str">
        <f t="shared" si="41"/>
        <v>S</v>
      </c>
      <c r="B86">
        <f t="shared" ca="1" si="46"/>
        <v>3</v>
      </c>
      <c r="C86" t="str">
        <f t="shared" ca="1" si="47"/>
        <v>S</v>
      </c>
      <c r="D86">
        <f t="shared" ca="1" si="48"/>
        <v>0</v>
      </c>
      <c r="E86" t="e">
        <f ca="1">IF($C86=1,OFFSET(E86,-1,0)+MAX(1,COUNTIF([1]QCI!$A$13:$A$24,OFFSET('PLANILHA A LICITAR'!E86,-1,0))),OFFSET(E86,-1,0))</f>
        <v>#VALUE!</v>
      </c>
      <c r="F86">
        <f t="shared" ca="1" si="49"/>
        <v>2</v>
      </c>
      <c r="G86">
        <f t="shared" ca="1" si="50"/>
        <v>6</v>
      </c>
      <c r="H86">
        <f t="shared" ca="1" si="51"/>
        <v>0</v>
      </c>
      <c r="I86" t="e">
        <f t="shared" ca="1" si="52"/>
        <v>#VALUE!</v>
      </c>
      <c r="J86">
        <f t="shared" ca="1" si="59"/>
        <v>0</v>
      </c>
      <c r="K86">
        <f ca="1">IF(OR($C86="S",$C86=0),0,MATCH(OFFSET($D86,0,$C86)+IF($C86&lt;&gt;1,1,COUNTIF([1]QCI!$A$13:$A$24,'PLANILHA A LICITAR'!E86)),OFFSET($D86,1,$C86,ROW($C$145)-ROW($C86)),0))</f>
        <v>0</v>
      </c>
      <c r="L86" s="42" t="e">
        <f t="shared" ca="1" si="53"/>
        <v>#VALUE!</v>
      </c>
      <c r="M86" s="43" t="s">
        <v>7</v>
      </c>
      <c r="N86" s="44" t="str">
        <f t="shared" ca="1" si="54"/>
        <v>Serviço</v>
      </c>
      <c r="O86" s="45" t="e">
        <f t="shared" ca="1" si="55"/>
        <v>#VALUE!</v>
      </c>
      <c r="P86" s="46" t="s">
        <v>62</v>
      </c>
      <c r="Q86" s="47">
        <v>101879</v>
      </c>
      <c r="R86" s="48" t="s">
        <v>161</v>
      </c>
      <c r="S86" s="49" t="s">
        <v>85</v>
      </c>
      <c r="T86" s="50" t="e">
        <f ca="1">OFFSET([1]CÁLCULO!H$15,ROW($T86)-ROW(T$15),0)</f>
        <v>#VALUE!</v>
      </c>
      <c r="U86" s="51" t="e">
        <f t="shared" ca="1" si="23"/>
        <v>#VALUE!</v>
      </c>
      <c r="V86" s="52" t="s">
        <v>10</v>
      </c>
      <c r="W86" s="50" t="e">
        <f ca="1">IF($C86="S",ROUND(IF(TIPOORCAMENTO="Proposto",ORÇAMENTO.CustoUnitario*(1+$AH86),ORÇAMENTO.PrecoUnitarioLicitado),15-13*$AF$10),0)</f>
        <v>#VALUE!</v>
      </c>
      <c r="X86" s="53" t="e">
        <f t="shared" ca="1" si="42"/>
        <v>#VALUE!</v>
      </c>
      <c r="Y86" s="54" t="s">
        <v>63</v>
      </c>
      <c r="Z86" t="e">
        <f t="shared" ca="1" si="56"/>
        <v>#VALUE!</v>
      </c>
      <c r="AA86" s="55" t="e">
        <f ca="1">IF($C86="S",IF($Z86="CP",$X86,IF($Z86="RA",(($X86)*[1]QCI!$AA$3),0)),SomaAgrup)</f>
        <v>#VALUE!</v>
      </c>
      <c r="AB86" s="56" t="e">
        <f t="shared" ca="1" si="43"/>
        <v>#VALUE!</v>
      </c>
      <c r="AC86" s="57" t="e">
        <f ca="1">IF($N86="","",IF(ORÇAMENTO.Descricao="","DESCRIÇÃO",IF(AND($C86="S",ORÇAMENTO.Unidade=""),"UNIDADE",IF($X86&lt;0,"VALOR NEGATIVO",IF(OR(AND(TIPOORCAMENTO="Proposto",$AG86&lt;&gt;"",$AG86&gt;0,ORÇAMENTO.CustoUnitario&gt;$AG86),AND(TIPOORCAMENTO="LICITADO",ORÇAMENTO.PrecoUnitarioLicitado&gt;$AN86)),"ACIMA REF.","")))))</f>
        <v>#VALUE!</v>
      </c>
      <c r="AD86" t="str">
        <f ca="1">IF(C86&lt;=CRONO.NivelExibicao,MAX($AD$15:OFFSET(AD86,-1,0))+IF($C86&lt;&gt;1,1,MAX(1,COUNTIF([1]QCI!$A$13:$A$24,OFFSET($E86,-1,0)))),"")</f>
        <v/>
      </c>
      <c r="AE86" s="4" t="str">
        <f ca="1">IF(AND($C86="S",ORÇAMENTO.CodBarra&lt;&gt;""),IF(ORÇAMENTO.Fonte="",ORÇAMENTO.CodBarra,CONCATENATE(ORÇAMENTO.Fonte," ",ORÇAMENTO.CodBarra)))</f>
        <v>SINAPI 101879</v>
      </c>
      <c r="AF86" s="58" t="e">
        <f ca="1">IF(ISERROR(INDIRECT(ORÇAMENTO.BancoRef)),"(abra o arquivo 'Referência "&amp;Excel_BuiltIn_Database&amp;".xls)",IF(OR($C86&lt;&gt;"S",ORÇAMENTO.CodBarra=""),"(Sem Código)",IF(ISERROR(MATCH($AE86,INDIRECT(ORÇAMENTO.BancoRef),0)),"(Código não identificado nas referências)",MATCH($AE86,INDIRECT(ORÇAMENTO.BancoRef),0))))</f>
        <v>#VALUE!</v>
      </c>
      <c r="AG86" s="59" t="e">
        <f ca="1">ROUND(IF(DESONERACAO="sim",REFERENCIA.Desonerado,REFERENCIA.NaoDesonerado),2)</f>
        <v>#VALUE!</v>
      </c>
      <c r="AH86" s="60">
        <f t="shared" si="44"/>
        <v>0.2223</v>
      </c>
      <c r="AJ86" s="61">
        <v>1</v>
      </c>
      <c r="AL86" s="62"/>
      <c r="AM86" s="63" t="e">
        <f t="shared" ca="1" si="0"/>
        <v>#VALUE!</v>
      </c>
      <c r="AN86" s="64" t="e">
        <f t="shared" ca="1" si="45"/>
        <v>#VALUE!</v>
      </c>
    </row>
    <row r="87" spans="1:40" ht="25.5" x14ac:dyDescent="0.2">
      <c r="A87" t="str">
        <f t="shared" si="41"/>
        <v>S</v>
      </c>
      <c r="B87">
        <f t="shared" ca="1" si="46"/>
        <v>3</v>
      </c>
      <c r="C87" t="str">
        <f t="shared" ca="1" si="47"/>
        <v>S</v>
      </c>
      <c r="D87">
        <f t="shared" ca="1" si="48"/>
        <v>0</v>
      </c>
      <c r="E87" t="e">
        <f ca="1">IF($C87=1,OFFSET(E87,-1,0)+MAX(1,COUNTIF([1]QCI!$A$13:$A$24,OFFSET('PLANILHA A LICITAR'!E87,-1,0))),OFFSET(E87,-1,0))</f>
        <v>#VALUE!</v>
      </c>
      <c r="F87">
        <f t="shared" ca="1" si="49"/>
        <v>2</v>
      </c>
      <c r="G87">
        <f t="shared" ca="1" si="50"/>
        <v>6</v>
      </c>
      <c r="H87">
        <f t="shared" ca="1" si="51"/>
        <v>0</v>
      </c>
      <c r="I87" t="e">
        <f t="shared" ca="1" si="52"/>
        <v>#VALUE!</v>
      </c>
      <c r="J87">
        <f t="shared" ca="1" si="59"/>
        <v>0</v>
      </c>
      <c r="K87">
        <f ca="1">IF(OR($C87="S",$C87=0),0,MATCH(OFFSET($D87,0,$C87)+IF($C87&lt;&gt;1,1,COUNTIF([1]QCI!$A$13:$A$24,'PLANILHA A LICITAR'!E87)),OFFSET($D87,1,$C87,ROW($C$145)-ROW($C87)),0))</f>
        <v>0</v>
      </c>
      <c r="L87" s="42" t="e">
        <f t="shared" ca="1" si="53"/>
        <v>#VALUE!</v>
      </c>
      <c r="M87" s="43" t="s">
        <v>7</v>
      </c>
      <c r="N87" s="44" t="str">
        <f t="shared" ca="1" si="54"/>
        <v>Serviço</v>
      </c>
      <c r="O87" s="45" t="e">
        <f t="shared" ca="1" si="55"/>
        <v>#VALUE!</v>
      </c>
      <c r="P87" s="46" t="s">
        <v>62</v>
      </c>
      <c r="Q87" s="47">
        <v>93653</v>
      </c>
      <c r="R87" s="48" t="s">
        <v>162</v>
      </c>
      <c r="S87" s="49" t="s">
        <v>85</v>
      </c>
      <c r="T87" s="50" t="e">
        <f ca="1">OFFSET([1]CÁLCULO!H$15,ROW($T87)-ROW(T$15),0)</f>
        <v>#VALUE!</v>
      </c>
      <c r="U87" s="51" t="e">
        <f t="shared" ca="1" si="23"/>
        <v>#VALUE!</v>
      </c>
      <c r="V87" s="52" t="s">
        <v>10</v>
      </c>
      <c r="W87" s="50" t="e">
        <f ca="1">IF($C87="S",ROUND(IF(TIPOORCAMENTO="Proposto",ORÇAMENTO.CustoUnitario*(1+$AH87),ORÇAMENTO.PrecoUnitarioLicitado),15-13*$AF$10),0)</f>
        <v>#VALUE!</v>
      </c>
      <c r="X87" s="53" t="e">
        <f t="shared" ca="1" si="42"/>
        <v>#VALUE!</v>
      </c>
      <c r="Y87" s="54" t="s">
        <v>63</v>
      </c>
      <c r="Z87" t="e">
        <f t="shared" ca="1" si="56"/>
        <v>#VALUE!</v>
      </c>
      <c r="AA87" s="55" t="e">
        <f ca="1">IF($C87="S",IF($Z87="CP",$X87,IF($Z87="RA",(($X87)*[1]QCI!$AA$3),0)),SomaAgrup)</f>
        <v>#VALUE!</v>
      </c>
      <c r="AB87" s="56" t="e">
        <f t="shared" ca="1" si="43"/>
        <v>#VALUE!</v>
      </c>
      <c r="AC87" s="57" t="e">
        <f ca="1">IF($N87="","",IF(ORÇAMENTO.Descricao="","DESCRIÇÃO",IF(AND($C87="S",ORÇAMENTO.Unidade=""),"UNIDADE",IF($X87&lt;0,"VALOR NEGATIVO",IF(OR(AND(TIPOORCAMENTO="Proposto",$AG87&lt;&gt;"",$AG87&gt;0,ORÇAMENTO.CustoUnitario&gt;$AG87),AND(TIPOORCAMENTO="LICITADO",ORÇAMENTO.PrecoUnitarioLicitado&gt;$AN87)),"ACIMA REF.","")))))</f>
        <v>#VALUE!</v>
      </c>
      <c r="AD87" t="str">
        <f ca="1">IF(C87&lt;=CRONO.NivelExibicao,MAX($AD$15:OFFSET(AD87,-1,0))+IF($C87&lt;&gt;1,1,MAX(1,COUNTIF([1]QCI!$A$13:$A$24,OFFSET($E87,-1,0)))),"")</f>
        <v/>
      </c>
      <c r="AE87" s="4" t="str">
        <f ca="1">IF(AND($C87="S",ORÇAMENTO.CodBarra&lt;&gt;""),IF(ORÇAMENTO.Fonte="",ORÇAMENTO.CodBarra,CONCATENATE(ORÇAMENTO.Fonte," ",ORÇAMENTO.CodBarra)))</f>
        <v>SINAPI 93653</v>
      </c>
      <c r="AF87" s="58" t="e">
        <f ca="1">IF(ISERROR(INDIRECT(ORÇAMENTO.BancoRef)),"(abra o arquivo 'Referência "&amp;Excel_BuiltIn_Database&amp;".xls)",IF(OR($C87&lt;&gt;"S",ORÇAMENTO.CodBarra=""),"(Sem Código)",IF(ISERROR(MATCH($AE87,INDIRECT(ORÇAMENTO.BancoRef),0)),"(Código não identificado nas referências)",MATCH($AE87,INDIRECT(ORÇAMENTO.BancoRef),0))))</f>
        <v>#VALUE!</v>
      </c>
      <c r="AG87" s="59" t="e">
        <f ca="1">ROUND(IF(DESONERACAO="sim",REFERENCIA.Desonerado,REFERENCIA.NaoDesonerado),2)</f>
        <v>#VALUE!</v>
      </c>
      <c r="AH87" s="60">
        <f t="shared" si="44"/>
        <v>0.2223</v>
      </c>
      <c r="AJ87" s="61">
        <v>9</v>
      </c>
      <c r="AL87" s="62"/>
      <c r="AM87" s="63" t="e">
        <f t="shared" ca="1" si="0"/>
        <v>#VALUE!</v>
      </c>
      <c r="AN87" s="64" t="e">
        <f t="shared" ca="1" si="45"/>
        <v>#VALUE!</v>
      </c>
    </row>
    <row r="88" spans="1:40" ht="25.5" x14ac:dyDescent="0.2">
      <c r="A88" t="str">
        <f t="shared" si="41"/>
        <v>S</v>
      </c>
      <c r="B88">
        <f t="shared" ca="1" si="46"/>
        <v>3</v>
      </c>
      <c r="C88" t="str">
        <f t="shared" ca="1" si="47"/>
        <v>S</v>
      </c>
      <c r="D88">
        <f t="shared" ca="1" si="48"/>
        <v>0</v>
      </c>
      <c r="E88" t="e">
        <f ca="1">IF($C88=1,OFFSET(E88,-1,0)+MAX(1,COUNTIF([1]QCI!$A$13:$A$24,OFFSET('PLANILHA A LICITAR'!E88,-1,0))),OFFSET(E88,-1,0))</f>
        <v>#VALUE!</v>
      </c>
      <c r="F88">
        <f t="shared" ca="1" si="49"/>
        <v>2</v>
      </c>
      <c r="G88">
        <f t="shared" ca="1" si="50"/>
        <v>6</v>
      </c>
      <c r="H88">
        <f t="shared" ca="1" si="51"/>
        <v>0</v>
      </c>
      <c r="I88" t="e">
        <f t="shared" ca="1" si="52"/>
        <v>#VALUE!</v>
      </c>
      <c r="J88">
        <f t="shared" ca="1" si="59"/>
        <v>0</v>
      </c>
      <c r="K88">
        <f ca="1">IF(OR($C88="S",$C88=0),0,MATCH(OFFSET($D88,0,$C88)+IF($C88&lt;&gt;1,1,COUNTIF([1]QCI!$A$13:$A$24,'PLANILHA A LICITAR'!E88)),OFFSET($D88,1,$C88,ROW($C$145)-ROW($C88)),0))</f>
        <v>0</v>
      </c>
      <c r="L88" s="42" t="e">
        <f t="shared" ca="1" si="53"/>
        <v>#VALUE!</v>
      </c>
      <c r="M88" s="43" t="s">
        <v>7</v>
      </c>
      <c r="N88" s="44" t="str">
        <f t="shared" ca="1" si="54"/>
        <v>Serviço</v>
      </c>
      <c r="O88" s="45" t="e">
        <f t="shared" ca="1" si="55"/>
        <v>#VALUE!</v>
      </c>
      <c r="P88" s="46" t="s">
        <v>62</v>
      </c>
      <c r="Q88" s="47" t="s">
        <v>163</v>
      </c>
      <c r="R88" s="48" t="s">
        <v>164</v>
      </c>
      <c r="S88" s="49" t="s">
        <v>85</v>
      </c>
      <c r="T88" s="50" t="e">
        <f ca="1">OFFSET([1]CÁLCULO!H$15,ROW($T88)-ROW(T$15),0)</f>
        <v>#VALUE!</v>
      </c>
      <c r="U88" s="51" t="e">
        <f t="shared" ca="1" si="23"/>
        <v>#VALUE!</v>
      </c>
      <c r="V88" s="52" t="s">
        <v>10</v>
      </c>
      <c r="W88" s="50" t="e">
        <f ca="1">IF($C88="S",ROUND(IF(TIPOORCAMENTO="Proposto",ORÇAMENTO.CustoUnitario*(1+$AH88),ORÇAMENTO.PrecoUnitarioLicitado),15-13*$AF$10),0)</f>
        <v>#VALUE!</v>
      </c>
      <c r="X88" s="53" t="e">
        <f t="shared" ca="1" si="42"/>
        <v>#VALUE!</v>
      </c>
      <c r="Y88" s="54" t="s">
        <v>63</v>
      </c>
      <c r="Z88" t="e">
        <f t="shared" ca="1" si="56"/>
        <v>#VALUE!</v>
      </c>
      <c r="AA88" s="55" t="e">
        <f ca="1">IF($C88="S",IF($Z88="CP",$X88,IF($Z88="RA",(($X88)*[1]QCI!$AA$3),0)),SomaAgrup)</f>
        <v>#VALUE!</v>
      </c>
      <c r="AB88" s="56" t="e">
        <f t="shared" ca="1" si="43"/>
        <v>#VALUE!</v>
      </c>
      <c r="AC88" s="57" t="e">
        <f ca="1">IF($N88="","",IF(ORÇAMENTO.Descricao="","DESCRIÇÃO",IF(AND($C88="S",ORÇAMENTO.Unidade=""),"UNIDADE",IF($X88&lt;0,"VALOR NEGATIVO",IF(OR(AND(TIPOORCAMENTO="Proposto",$AG88&lt;&gt;"",$AG88&gt;0,ORÇAMENTO.CustoUnitario&gt;$AG88),AND(TIPOORCAMENTO="LICITADO",ORÇAMENTO.PrecoUnitarioLicitado&gt;$AN88)),"ACIMA REF.","")))))</f>
        <v>#VALUE!</v>
      </c>
      <c r="AD88" t="str">
        <f ca="1">IF(C88&lt;=CRONO.NivelExibicao,MAX($AD$15:OFFSET(AD88,-1,0))+IF($C88&lt;&gt;1,1,MAX(1,COUNTIF([1]QCI!$A$13:$A$24,OFFSET($E88,-1,0)))),"")</f>
        <v/>
      </c>
      <c r="AE88" s="4" t="str">
        <f ca="1">IF(AND($C88="S",ORÇAMENTO.CodBarra&lt;&gt;""),IF(ORÇAMENTO.Fonte="",ORÇAMENTO.CodBarra,CONCATENATE(ORÇAMENTO.Fonte," ",ORÇAMENTO.CodBarra)))</f>
        <v>SINAPI 93654</v>
      </c>
      <c r="AF88" s="58" t="e">
        <f ca="1">IF(ISERROR(INDIRECT(ORÇAMENTO.BancoRef)),"(abra o arquivo 'Referência "&amp;Excel_BuiltIn_Database&amp;".xls)",IF(OR($C88&lt;&gt;"S",ORÇAMENTO.CodBarra=""),"(Sem Código)",IF(ISERROR(MATCH($AE88,INDIRECT(ORÇAMENTO.BancoRef),0)),"(Código não identificado nas referências)",MATCH($AE88,INDIRECT(ORÇAMENTO.BancoRef),0))))</f>
        <v>#VALUE!</v>
      </c>
      <c r="AG88" s="59" t="e">
        <f ca="1">ROUND(IF(DESONERACAO="sim",REFERENCIA.Desonerado,REFERENCIA.NaoDesonerado),2)</f>
        <v>#VALUE!</v>
      </c>
      <c r="AH88" s="60">
        <f t="shared" si="44"/>
        <v>0.2223</v>
      </c>
      <c r="AJ88" s="61">
        <v>1</v>
      </c>
      <c r="AL88" s="62"/>
      <c r="AM88" s="63" t="e">
        <f t="shared" ca="1" si="0"/>
        <v>#VALUE!</v>
      </c>
      <c r="AN88" s="64" t="e">
        <f t="shared" ca="1" si="45"/>
        <v>#VALUE!</v>
      </c>
    </row>
    <row r="89" spans="1:40" ht="25.5" x14ac:dyDescent="0.2">
      <c r="A89" t="str">
        <f t="shared" si="41"/>
        <v>S</v>
      </c>
      <c r="B89">
        <f t="shared" ca="1" si="46"/>
        <v>3</v>
      </c>
      <c r="C89" t="str">
        <f t="shared" ca="1" si="47"/>
        <v>S</v>
      </c>
      <c r="D89">
        <f t="shared" ca="1" si="48"/>
        <v>0</v>
      </c>
      <c r="E89" t="e">
        <f ca="1">IF($C89=1,OFFSET(E89,-1,0)+MAX(1,COUNTIF([1]QCI!$A$13:$A$24,OFFSET('PLANILHA A LICITAR'!E89,-1,0))),OFFSET(E89,-1,0))</f>
        <v>#VALUE!</v>
      </c>
      <c r="F89">
        <f t="shared" ca="1" si="49"/>
        <v>2</v>
      </c>
      <c r="G89">
        <f t="shared" ca="1" si="50"/>
        <v>6</v>
      </c>
      <c r="H89">
        <f t="shared" ca="1" si="51"/>
        <v>0</v>
      </c>
      <c r="I89" t="e">
        <f t="shared" ca="1" si="52"/>
        <v>#VALUE!</v>
      </c>
      <c r="J89">
        <f t="shared" ca="1" si="59"/>
        <v>0</v>
      </c>
      <c r="K89">
        <f ca="1">IF(OR($C89="S",$C89=0),0,MATCH(OFFSET($D89,0,$C89)+IF($C89&lt;&gt;1,1,COUNTIF([1]QCI!$A$13:$A$24,'PLANILHA A LICITAR'!E89)),OFFSET($D89,1,$C89,ROW($C$145)-ROW($C89)),0))</f>
        <v>0</v>
      </c>
      <c r="L89" s="42" t="e">
        <f t="shared" ca="1" si="53"/>
        <v>#VALUE!</v>
      </c>
      <c r="M89" s="43" t="s">
        <v>7</v>
      </c>
      <c r="N89" s="44" t="str">
        <f t="shared" ca="1" si="54"/>
        <v>Serviço</v>
      </c>
      <c r="O89" s="45" t="e">
        <f t="shared" ca="1" si="55"/>
        <v>#VALUE!</v>
      </c>
      <c r="P89" s="46" t="s">
        <v>62</v>
      </c>
      <c r="Q89" s="47">
        <v>101894</v>
      </c>
      <c r="R89" s="48" t="s">
        <v>165</v>
      </c>
      <c r="S89" s="49" t="s">
        <v>85</v>
      </c>
      <c r="T89" s="50" t="e">
        <f ca="1">OFFSET([1]CÁLCULO!H$15,ROW($T89)-ROW(T$15),0)</f>
        <v>#VALUE!</v>
      </c>
      <c r="U89" s="51" t="e">
        <f t="shared" ca="1" si="23"/>
        <v>#VALUE!</v>
      </c>
      <c r="V89" s="52" t="s">
        <v>10</v>
      </c>
      <c r="W89" s="50" t="e">
        <f ca="1">IF($C89="S",ROUND(IF(TIPOORCAMENTO="Proposto",ORÇAMENTO.CustoUnitario*(1+$AH89),ORÇAMENTO.PrecoUnitarioLicitado),15-13*$AF$10),0)</f>
        <v>#VALUE!</v>
      </c>
      <c r="X89" s="53" t="e">
        <f t="shared" ca="1" si="42"/>
        <v>#VALUE!</v>
      </c>
      <c r="Y89" s="54" t="s">
        <v>63</v>
      </c>
      <c r="Z89" t="e">
        <f t="shared" ca="1" si="56"/>
        <v>#VALUE!</v>
      </c>
      <c r="AA89" s="55" t="e">
        <f ca="1">IF($C89="S",IF($Z89="CP",$X89,IF($Z89="RA",(($X89)*[1]QCI!$AA$3),0)),SomaAgrup)</f>
        <v>#VALUE!</v>
      </c>
      <c r="AB89" s="56" t="e">
        <f t="shared" ca="1" si="43"/>
        <v>#VALUE!</v>
      </c>
      <c r="AC89" s="57" t="e">
        <f ca="1">IF($N89="","",IF(ORÇAMENTO.Descricao="","DESCRIÇÃO",IF(AND($C89="S",ORÇAMENTO.Unidade=""),"UNIDADE",IF($X89&lt;0,"VALOR NEGATIVO",IF(OR(AND(TIPOORCAMENTO="Proposto",$AG89&lt;&gt;"",$AG89&gt;0,ORÇAMENTO.CustoUnitario&gt;$AG89),AND(TIPOORCAMENTO="LICITADO",ORÇAMENTO.PrecoUnitarioLicitado&gt;$AN89)),"ACIMA REF.","")))))</f>
        <v>#VALUE!</v>
      </c>
      <c r="AD89" t="str">
        <f ca="1">IF(C89&lt;=CRONO.NivelExibicao,MAX($AD$15:OFFSET(AD89,-1,0))+IF($C89&lt;&gt;1,1,MAX(1,COUNTIF([1]QCI!$A$13:$A$24,OFFSET($E89,-1,0)))),"")</f>
        <v/>
      </c>
      <c r="AE89" s="4" t="str">
        <f ca="1">IF(AND($C89="S",ORÇAMENTO.CodBarra&lt;&gt;""),IF(ORÇAMENTO.Fonte="",ORÇAMENTO.CodBarra,CONCATENATE(ORÇAMENTO.Fonte," ",ORÇAMENTO.CodBarra)))</f>
        <v>SINAPI 101894</v>
      </c>
      <c r="AF89" s="58" t="e">
        <f ca="1">IF(ISERROR(INDIRECT(ORÇAMENTO.BancoRef)),"(abra o arquivo 'Referência "&amp;Excel_BuiltIn_Database&amp;".xls)",IF(OR($C89&lt;&gt;"S",ORÇAMENTO.CodBarra=""),"(Sem Código)",IF(ISERROR(MATCH($AE89,INDIRECT(ORÇAMENTO.BancoRef),0)),"(Código não identificado nas referências)",MATCH($AE89,INDIRECT(ORÇAMENTO.BancoRef),0))))</f>
        <v>#VALUE!</v>
      </c>
      <c r="AG89" s="59" t="e">
        <f ca="1">ROUND(IF(DESONERACAO="sim",REFERENCIA.Desonerado,REFERENCIA.NaoDesonerado),2)</f>
        <v>#VALUE!</v>
      </c>
      <c r="AH89" s="60">
        <f t="shared" si="44"/>
        <v>0.2223</v>
      </c>
      <c r="AJ89" s="61">
        <v>1</v>
      </c>
      <c r="AL89" s="62"/>
      <c r="AM89" s="63" t="e">
        <f t="shared" ca="1" si="0"/>
        <v>#VALUE!</v>
      </c>
      <c r="AN89" s="64" t="e">
        <f t="shared" ca="1" si="45"/>
        <v>#VALUE!</v>
      </c>
    </row>
    <row r="90" spans="1:40" ht="38.25" x14ac:dyDescent="0.2">
      <c r="A90" t="str">
        <f t="shared" si="41"/>
        <v>S</v>
      </c>
      <c r="B90">
        <f t="shared" ca="1" si="46"/>
        <v>3</v>
      </c>
      <c r="C90" t="str">
        <f t="shared" ca="1" si="47"/>
        <v>S</v>
      </c>
      <c r="D90">
        <f t="shared" ca="1" si="48"/>
        <v>0</v>
      </c>
      <c r="E90" t="e">
        <f ca="1">IF($C90=1,OFFSET(E90,-1,0)+MAX(1,COUNTIF([1]QCI!$A$13:$A$24,OFFSET('PLANILHA A LICITAR'!E90,-1,0))),OFFSET(E90,-1,0))</f>
        <v>#VALUE!</v>
      </c>
      <c r="F90">
        <f t="shared" ca="1" si="49"/>
        <v>2</v>
      </c>
      <c r="G90">
        <f t="shared" ca="1" si="50"/>
        <v>6</v>
      </c>
      <c r="H90">
        <f t="shared" ca="1" si="51"/>
        <v>0</v>
      </c>
      <c r="I90" t="e">
        <f t="shared" ca="1" si="52"/>
        <v>#VALUE!</v>
      </c>
      <c r="J90">
        <f t="shared" ca="1" si="59"/>
        <v>0</v>
      </c>
      <c r="K90">
        <f ca="1">IF(OR($C90="S",$C90=0),0,MATCH(OFFSET($D90,0,$C90)+IF($C90&lt;&gt;1,1,COUNTIF([1]QCI!$A$13:$A$24,'PLANILHA A LICITAR'!E90)),OFFSET($D90,1,$C90,ROW($C$145)-ROW($C90)),0))</f>
        <v>0</v>
      </c>
      <c r="L90" s="42" t="e">
        <f t="shared" ca="1" si="53"/>
        <v>#VALUE!</v>
      </c>
      <c r="M90" s="43" t="s">
        <v>7</v>
      </c>
      <c r="N90" s="44" t="str">
        <f t="shared" ca="1" si="54"/>
        <v>Serviço</v>
      </c>
      <c r="O90" s="45" t="e">
        <f t="shared" ca="1" si="55"/>
        <v>#VALUE!</v>
      </c>
      <c r="P90" s="46" t="s">
        <v>62</v>
      </c>
      <c r="Q90" s="47">
        <v>91836</v>
      </c>
      <c r="R90" s="48" t="s">
        <v>166</v>
      </c>
      <c r="S90" s="49" t="s">
        <v>167</v>
      </c>
      <c r="T90" s="50" t="e">
        <f ca="1">OFFSET([1]CÁLCULO!H$15,ROW($T90)-ROW(T$15),0)</f>
        <v>#VALUE!</v>
      </c>
      <c r="U90" s="51" t="e">
        <f t="shared" ca="1" si="23"/>
        <v>#VALUE!</v>
      </c>
      <c r="V90" s="52" t="s">
        <v>10</v>
      </c>
      <c r="W90" s="50" t="e">
        <f ca="1">IF($C90="S",ROUND(IF(TIPOORCAMENTO="Proposto",ORÇAMENTO.CustoUnitario*(1+$AH90),ORÇAMENTO.PrecoUnitarioLicitado),15-13*$AF$10),0)</f>
        <v>#VALUE!</v>
      </c>
      <c r="X90" s="53" t="e">
        <f t="shared" ca="1" si="42"/>
        <v>#VALUE!</v>
      </c>
      <c r="Y90" s="54" t="s">
        <v>63</v>
      </c>
      <c r="Z90" t="e">
        <f t="shared" ca="1" si="56"/>
        <v>#VALUE!</v>
      </c>
      <c r="AA90" s="55" t="e">
        <f ca="1">IF($C90="S",IF($Z90="CP",$X90,IF($Z90="RA",(($X90)*[1]QCI!$AA$3),0)),SomaAgrup)</f>
        <v>#VALUE!</v>
      </c>
      <c r="AB90" s="56" t="e">
        <f t="shared" ca="1" si="43"/>
        <v>#VALUE!</v>
      </c>
      <c r="AC90" s="57" t="e">
        <f ca="1">IF($N90="","",IF(ORÇAMENTO.Descricao="","DESCRIÇÃO",IF(AND($C90="S",ORÇAMENTO.Unidade=""),"UNIDADE",IF($X90&lt;0,"VALOR NEGATIVO",IF(OR(AND(TIPOORCAMENTO="Proposto",$AG90&lt;&gt;"",$AG90&gt;0,ORÇAMENTO.CustoUnitario&gt;$AG90),AND(TIPOORCAMENTO="LICITADO",ORÇAMENTO.PrecoUnitarioLicitado&gt;$AN90)),"ACIMA REF.","")))))</f>
        <v>#VALUE!</v>
      </c>
      <c r="AD90" t="str">
        <f ca="1">IF(C90&lt;=CRONO.NivelExibicao,MAX($AD$15:OFFSET(AD90,-1,0))+IF($C90&lt;&gt;1,1,MAX(1,COUNTIF([1]QCI!$A$13:$A$24,OFFSET($E90,-1,0)))),"")</f>
        <v/>
      </c>
      <c r="AE90" s="4" t="str">
        <f ca="1">IF(AND($C90="S",ORÇAMENTO.CodBarra&lt;&gt;""),IF(ORÇAMENTO.Fonte="",ORÇAMENTO.CodBarra,CONCATENATE(ORÇAMENTO.Fonte," ",ORÇAMENTO.CodBarra)))</f>
        <v>SINAPI 91836</v>
      </c>
      <c r="AF90" s="58" t="e">
        <f ca="1">IF(ISERROR(INDIRECT(ORÇAMENTO.BancoRef)),"(abra o arquivo 'Referência "&amp;Excel_BuiltIn_Database&amp;".xls)",IF(OR($C90&lt;&gt;"S",ORÇAMENTO.CodBarra=""),"(Sem Código)",IF(ISERROR(MATCH($AE90,INDIRECT(ORÇAMENTO.BancoRef),0)),"(Código não identificado nas referências)",MATCH($AE90,INDIRECT(ORÇAMENTO.BancoRef),0))))</f>
        <v>#VALUE!</v>
      </c>
      <c r="AG90" s="59" t="e">
        <f ca="1">ROUND(IF(DESONERACAO="sim",REFERENCIA.Desonerado,REFERENCIA.NaoDesonerado),2)</f>
        <v>#VALUE!</v>
      </c>
      <c r="AH90" s="60">
        <f t="shared" si="44"/>
        <v>0.2223</v>
      </c>
      <c r="AJ90" s="61">
        <v>150</v>
      </c>
      <c r="AL90" s="62"/>
      <c r="AM90" s="63" t="e">
        <f t="shared" ca="1" si="0"/>
        <v>#VALUE!</v>
      </c>
      <c r="AN90" s="64" t="e">
        <f t="shared" ca="1" si="45"/>
        <v>#VALUE!</v>
      </c>
    </row>
    <row r="91" spans="1:40" ht="38.25" x14ac:dyDescent="0.2">
      <c r="A91" t="str">
        <f t="shared" si="41"/>
        <v>S</v>
      </c>
      <c r="B91">
        <f t="shared" ca="1" si="46"/>
        <v>3</v>
      </c>
      <c r="C91" t="str">
        <f t="shared" ca="1" si="47"/>
        <v>S</v>
      </c>
      <c r="D91">
        <f t="shared" ca="1" si="48"/>
        <v>0</v>
      </c>
      <c r="E91" t="e">
        <f ca="1">IF($C91=1,OFFSET(E91,-1,0)+MAX(1,COUNTIF([1]QCI!$A$13:$A$24,OFFSET('PLANILHA A LICITAR'!E91,-1,0))),OFFSET(E91,-1,0))</f>
        <v>#VALUE!</v>
      </c>
      <c r="F91">
        <f t="shared" ca="1" si="49"/>
        <v>2</v>
      </c>
      <c r="G91">
        <f t="shared" ca="1" si="50"/>
        <v>6</v>
      </c>
      <c r="H91">
        <f t="shared" ca="1" si="51"/>
        <v>0</v>
      </c>
      <c r="I91" t="e">
        <f t="shared" ca="1" si="52"/>
        <v>#VALUE!</v>
      </c>
      <c r="J91">
        <f t="shared" ca="1" si="59"/>
        <v>0</v>
      </c>
      <c r="K91">
        <f ca="1">IF(OR($C91="S",$C91=0),0,MATCH(OFFSET($D91,0,$C91)+IF($C91&lt;&gt;1,1,COUNTIF([1]QCI!$A$13:$A$24,'PLANILHA A LICITAR'!E91)),OFFSET($D91,1,$C91,ROW($C$145)-ROW($C91)),0))</f>
        <v>0</v>
      </c>
      <c r="L91" s="42" t="e">
        <f t="shared" ca="1" si="53"/>
        <v>#VALUE!</v>
      </c>
      <c r="M91" s="43" t="s">
        <v>7</v>
      </c>
      <c r="N91" s="44" t="str">
        <f t="shared" ca="1" si="54"/>
        <v>Serviço</v>
      </c>
      <c r="O91" s="45" t="e">
        <f t="shared" ca="1" si="55"/>
        <v>#VALUE!</v>
      </c>
      <c r="P91" s="46" t="s">
        <v>62</v>
      </c>
      <c r="Q91" s="47">
        <v>91929</v>
      </c>
      <c r="R91" s="48" t="s">
        <v>168</v>
      </c>
      <c r="S91" s="49" t="s">
        <v>167</v>
      </c>
      <c r="T91" s="50" t="e">
        <f ca="1">OFFSET([1]CÁLCULO!H$15,ROW($T91)-ROW(T$15),0)</f>
        <v>#VALUE!</v>
      </c>
      <c r="U91" s="51" t="e">
        <f t="shared" ca="1" si="23"/>
        <v>#VALUE!</v>
      </c>
      <c r="V91" s="52" t="s">
        <v>10</v>
      </c>
      <c r="W91" s="50" t="e">
        <f ca="1">IF($C91="S",ROUND(IF(TIPOORCAMENTO="Proposto",ORÇAMENTO.CustoUnitario*(1+$AH91),ORÇAMENTO.PrecoUnitarioLicitado),15-13*$AF$10),0)</f>
        <v>#VALUE!</v>
      </c>
      <c r="X91" s="53" t="e">
        <f t="shared" ca="1" si="42"/>
        <v>#VALUE!</v>
      </c>
      <c r="Y91" s="54" t="s">
        <v>63</v>
      </c>
      <c r="Z91" t="e">
        <f t="shared" ca="1" si="56"/>
        <v>#VALUE!</v>
      </c>
      <c r="AA91" s="55" t="e">
        <f ca="1">IF($C91="S",IF($Z91="CP",$X91,IF($Z91="RA",(($X91)*[1]QCI!$AA$3),0)),SomaAgrup)</f>
        <v>#VALUE!</v>
      </c>
      <c r="AB91" s="56" t="e">
        <f t="shared" ca="1" si="43"/>
        <v>#VALUE!</v>
      </c>
      <c r="AC91" s="57" t="e">
        <f ca="1">IF($N91="","",IF(ORÇAMENTO.Descricao="","DESCRIÇÃO",IF(AND($C91="S",ORÇAMENTO.Unidade=""),"UNIDADE",IF($X91&lt;0,"VALOR NEGATIVO",IF(OR(AND(TIPOORCAMENTO="Proposto",$AG91&lt;&gt;"",$AG91&gt;0,ORÇAMENTO.CustoUnitario&gt;$AG91),AND(TIPOORCAMENTO="LICITADO",ORÇAMENTO.PrecoUnitarioLicitado&gt;$AN91)),"ACIMA REF.","")))))</f>
        <v>#VALUE!</v>
      </c>
      <c r="AD91" t="str">
        <f ca="1">IF(C91&lt;=CRONO.NivelExibicao,MAX($AD$15:OFFSET(AD91,-1,0))+IF($C91&lt;&gt;1,1,MAX(1,COUNTIF([1]QCI!$A$13:$A$24,OFFSET($E91,-1,0)))),"")</f>
        <v/>
      </c>
      <c r="AE91" s="4" t="str">
        <f ca="1">IF(AND($C91="S",ORÇAMENTO.CodBarra&lt;&gt;""),IF(ORÇAMENTO.Fonte="",ORÇAMENTO.CodBarra,CONCATENATE(ORÇAMENTO.Fonte," ",ORÇAMENTO.CodBarra)))</f>
        <v>SINAPI 91929</v>
      </c>
      <c r="AF91" s="58" t="e">
        <f ca="1">IF(ISERROR(INDIRECT(ORÇAMENTO.BancoRef)),"(abra o arquivo 'Referência "&amp;Excel_BuiltIn_Database&amp;".xls)",IF(OR($C91&lt;&gt;"S",ORÇAMENTO.CodBarra=""),"(Sem Código)",IF(ISERROR(MATCH($AE91,INDIRECT(ORÇAMENTO.BancoRef),0)),"(Código não identificado nas referências)",MATCH($AE91,INDIRECT(ORÇAMENTO.BancoRef),0))))</f>
        <v>#VALUE!</v>
      </c>
      <c r="AG91" s="59" t="e">
        <f ca="1">ROUND(IF(DESONERACAO="sim",REFERENCIA.Desonerado,REFERENCIA.NaoDesonerado),2)</f>
        <v>#VALUE!</v>
      </c>
      <c r="AH91" s="60">
        <f t="shared" si="44"/>
        <v>0.2223</v>
      </c>
      <c r="AJ91" s="61">
        <v>560</v>
      </c>
      <c r="AL91" s="62"/>
      <c r="AM91" s="63" t="e">
        <f t="shared" ca="1" si="0"/>
        <v>#VALUE!</v>
      </c>
      <c r="AN91" s="64" t="e">
        <f t="shared" ca="1" si="45"/>
        <v>#VALUE!</v>
      </c>
    </row>
    <row r="92" spans="1:40" ht="38.25" x14ac:dyDescent="0.2">
      <c r="A92" t="str">
        <f t="shared" si="41"/>
        <v>S</v>
      </c>
      <c r="B92">
        <f t="shared" ca="1" si="46"/>
        <v>3</v>
      </c>
      <c r="C92" t="str">
        <f t="shared" ca="1" si="47"/>
        <v>S</v>
      </c>
      <c r="D92">
        <f t="shared" ca="1" si="48"/>
        <v>0</v>
      </c>
      <c r="E92" t="e">
        <f ca="1">IF($C92=1,OFFSET(E92,-1,0)+MAX(1,COUNTIF([1]QCI!$A$13:$A$24,OFFSET('PLANILHA A LICITAR'!E92,-1,0))),OFFSET(E92,-1,0))</f>
        <v>#VALUE!</v>
      </c>
      <c r="F92">
        <f t="shared" ca="1" si="49"/>
        <v>2</v>
      </c>
      <c r="G92">
        <f t="shared" ca="1" si="50"/>
        <v>6</v>
      </c>
      <c r="H92">
        <f t="shared" ca="1" si="51"/>
        <v>0</v>
      </c>
      <c r="I92" t="e">
        <f t="shared" ca="1" si="52"/>
        <v>#VALUE!</v>
      </c>
      <c r="J92">
        <f t="shared" ca="1" si="59"/>
        <v>0</v>
      </c>
      <c r="K92">
        <f ca="1">IF(OR($C92="S",$C92=0),0,MATCH(OFFSET($D92,0,$C92)+IF($C92&lt;&gt;1,1,COUNTIF([1]QCI!$A$13:$A$24,'PLANILHA A LICITAR'!E92)),OFFSET($D92,1,$C92,ROW($C$145)-ROW($C92)),0))</f>
        <v>0</v>
      </c>
      <c r="L92" s="42" t="e">
        <f t="shared" ca="1" si="53"/>
        <v>#VALUE!</v>
      </c>
      <c r="M92" s="43" t="s">
        <v>7</v>
      </c>
      <c r="N92" s="44" t="str">
        <f t="shared" ca="1" si="54"/>
        <v>Serviço</v>
      </c>
      <c r="O92" s="45" t="e">
        <f t="shared" ca="1" si="55"/>
        <v>#VALUE!</v>
      </c>
      <c r="P92" s="46" t="s">
        <v>62</v>
      </c>
      <c r="Q92" s="47">
        <v>91933</v>
      </c>
      <c r="R92" s="48" t="s">
        <v>169</v>
      </c>
      <c r="S92" s="49" t="s">
        <v>167</v>
      </c>
      <c r="T92" s="50" t="e">
        <f ca="1">OFFSET([1]CÁLCULO!H$15,ROW($T92)-ROW(T$15),0)</f>
        <v>#VALUE!</v>
      </c>
      <c r="U92" s="51" t="e">
        <f t="shared" ca="1" si="23"/>
        <v>#VALUE!</v>
      </c>
      <c r="V92" s="52" t="s">
        <v>10</v>
      </c>
      <c r="W92" s="50" t="e">
        <f ca="1">IF($C92="S",ROUND(IF(TIPOORCAMENTO="Proposto",ORÇAMENTO.CustoUnitario*(1+$AH92),ORÇAMENTO.PrecoUnitarioLicitado),15-13*$AF$10),0)</f>
        <v>#VALUE!</v>
      </c>
      <c r="X92" s="53" t="e">
        <f t="shared" ca="1" si="42"/>
        <v>#VALUE!</v>
      </c>
      <c r="Y92" s="54" t="s">
        <v>63</v>
      </c>
      <c r="Z92" t="e">
        <f t="shared" ca="1" si="56"/>
        <v>#VALUE!</v>
      </c>
      <c r="AA92" s="55" t="e">
        <f ca="1">IF($C92="S",IF($Z92="CP",$X92,IF($Z92="RA",(($X92)*[1]QCI!$AA$3),0)),SomaAgrup)</f>
        <v>#VALUE!</v>
      </c>
      <c r="AB92" s="56" t="e">
        <f t="shared" ca="1" si="43"/>
        <v>#VALUE!</v>
      </c>
      <c r="AC92" s="57" t="e">
        <f ca="1">IF($N92="","",IF(ORÇAMENTO.Descricao="","DESCRIÇÃO",IF(AND($C92="S",ORÇAMENTO.Unidade=""),"UNIDADE",IF($X92&lt;0,"VALOR NEGATIVO",IF(OR(AND(TIPOORCAMENTO="Proposto",$AG92&lt;&gt;"",$AG92&gt;0,ORÇAMENTO.CustoUnitario&gt;$AG92),AND(TIPOORCAMENTO="LICITADO",ORÇAMENTO.PrecoUnitarioLicitado&gt;$AN92)),"ACIMA REF.","")))))</f>
        <v>#VALUE!</v>
      </c>
      <c r="AD92" t="str">
        <f ca="1">IF(C92&lt;=CRONO.NivelExibicao,MAX($AD$15:OFFSET(AD92,-1,0))+IF($C92&lt;&gt;1,1,MAX(1,COUNTIF([1]QCI!$A$13:$A$24,OFFSET($E92,-1,0)))),"")</f>
        <v/>
      </c>
      <c r="AE92" s="4" t="str">
        <f ca="1">IF(AND($C92="S",ORÇAMENTO.CodBarra&lt;&gt;""),IF(ORÇAMENTO.Fonte="",ORÇAMENTO.CodBarra,CONCATENATE(ORÇAMENTO.Fonte," ",ORÇAMENTO.CodBarra)))</f>
        <v>SINAPI 91933</v>
      </c>
      <c r="AF92" s="58" t="e">
        <f ca="1">IF(ISERROR(INDIRECT(ORÇAMENTO.BancoRef)),"(abra o arquivo 'Referência "&amp;Excel_BuiltIn_Database&amp;".xls)",IF(OR($C92&lt;&gt;"S",ORÇAMENTO.CodBarra=""),"(Sem Código)",IF(ISERROR(MATCH($AE92,INDIRECT(ORÇAMENTO.BancoRef),0)),"(Código não identificado nas referências)",MATCH($AE92,INDIRECT(ORÇAMENTO.BancoRef),0))))</f>
        <v>#VALUE!</v>
      </c>
      <c r="AG92" s="59" t="e">
        <f ca="1">ROUND(IF(DESONERACAO="sim",REFERENCIA.Desonerado,REFERENCIA.NaoDesonerado),2)</f>
        <v>#VALUE!</v>
      </c>
      <c r="AH92" s="60">
        <f t="shared" si="44"/>
        <v>0.2223</v>
      </c>
      <c r="AJ92" s="61">
        <v>100</v>
      </c>
      <c r="AL92" s="62"/>
      <c r="AM92" s="63" t="e">
        <f t="shared" ca="1" si="0"/>
        <v>#VALUE!</v>
      </c>
      <c r="AN92" s="64" t="e">
        <f t="shared" ca="1" si="45"/>
        <v>#VALUE!</v>
      </c>
    </row>
    <row r="93" spans="1:40" ht="25.5" x14ac:dyDescent="0.2">
      <c r="A93" t="str">
        <f t="shared" si="41"/>
        <v>S</v>
      </c>
      <c r="B93">
        <f t="shared" ca="1" si="46"/>
        <v>3</v>
      </c>
      <c r="C93" t="str">
        <f t="shared" ca="1" si="47"/>
        <v>S</v>
      </c>
      <c r="D93">
        <f t="shared" ca="1" si="48"/>
        <v>0</v>
      </c>
      <c r="E93" t="e">
        <f ca="1">IF($C93=1,OFFSET(E93,-1,0)+MAX(1,COUNTIF([1]QCI!$A$13:$A$24,OFFSET('PLANILHA A LICITAR'!E93,-1,0))),OFFSET(E93,-1,0))</f>
        <v>#VALUE!</v>
      </c>
      <c r="F93">
        <f t="shared" ca="1" si="49"/>
        <v>2</v>
      </c>
      <c r="G93">
        <f t="shared" ca="1" si="50"/>
        <v>6</v>
      </c>
      <c r="H93">
        <f t="shared" ca="1" si="51"/>
        <v>0</v>
      </c>
      <c r="I93" t="e">
        <f t="shared" ca="1" si="52"/>
        <v>#VALUE!</v>
      </c>
      <c r="J93">
        <f t="shared" ca="1" si="59"/>
        <v>0</v>
      </c>
      <c r="K93">
        <f ca="1">IF(OR($C93="S",$C93=0),0,MATCH(OFFSET($D93,0,$C93)+IF($C93&lt;&gt;1,1,COUNTIF([1]QCI!$A$13:$A$24,'PLANILHA A LICITAR'!E93)),OFFSET($D93,1,$C93,ROW($C$145)-ROW($C93)),0))</f>
        <v>0</v>
      </c>
      <c r="L93" s="42" t="e">
        <f t="shared" ca="1" si="53"/>
        <v>#VALUE!</v>
      </c>
      <c r="M93" s="43" t="s">
        <v>7</v>
      </c>
      <c r="N93" s="44" t="str">
        <f t="shared" ca="1" si="54"/>
        <v>Serviço</v>
      </c>
      <c r="O93" s="45" t="e">
        <f t="shared" ca="1" si="55"/>
        <v>#VALUE!</v>
      </c>
      <c r="P93" s="46" t="s">
        <v>62</v>
      </c>
      <c r="Q93" s="47">
        <v>91953</v>
      </c>
      <c r="R93" s="48" t="s">
        <v>170</v>
      </c>
      <c r="S93" s="49" t="s">
        <v>85</v>
      </c>
      <c r="T93" s="50" t="e">
        <f ca="1">OFFSET([1]CÁLCULO!H$15,ROW($T93)-ROW(T$15),0)</f>
        <v>#VALUE!</v>
      </c>
      <c r="U93" s="51" t="e">
        <f t="shared" ca="1" si="23"/>
        <v>#VALUE!</v>
      </c>
      <c r="V93" s="52" t="s">
        <v>10</v>
      </c>
      <c r="W93" s="50" t="e">
        <f ca="1">IF($C93="S",ROUND(IF(TIPOORCAMENTO="Proposto",ORÇAMENTO.CustoUnitario*(1+$AH93),ORÇAMENTO.PrecoUnitarioLicitado),15-13*$AF$10),0)</f>
        <v>#VALUE!</v>
      </c>
      <c r="X93" s="53" t="e">
        <f t="shared" ca="1" si="42"/>
        <v>#VALUE!</v>
      </c>
      <c r="Y93" s="54" t="s">
        <v>63</v>
      </c>
      <c r="Z93" t="e">
        <f t="shared" ca="1" si="56"/>
        <v>#VALUE!</v>
      </c>
      <c r="AA93" s="55" t="e">
        <f ca="1">IF($C93="S",IF($Z93="CP",$X93,IF($Z93="RA",(($X93)*[1]QCI!$AA$3),0)),SomaAgrup)</f>
        <v>#VALUE!</v>
      </c>
      <c r="AB93" s="56" t="e">
        <f t="shared" ca="1" si="43"/>
        <v>#VALUE!</v>
      </c>
      <c r="AC93" s="57" t="e">
        <f ca="1">IF($N93="","",IF(ORÇAMENTO.Descricao="","DESCRIÇÃO",IF(AND($C93="S",ORÇAMENTO.Unidade=""),"UNIDADE",IF($X93&lt;0,"VALOR NEGATIVO",IF(OR(AND(TIPOORCAMENTO="Proposto",$AG93&lt;&gt;"",$AG93&gt;0,ORÇAMENTO.CustoUnitario&gt;$AG93),AND(TIPOORCAMENTO="LICITADO",ORÇAMENTO.PrecoUnitarioLicitado&gt;$AN93)),"ACIMA REF.","")))))</f>
        <v>#VALUE!</v>
      </c>
      <c r="AD93" t="str">
        <f ca="1">IF(C93&lt;=CRONO.NivelExibicao,MAX($AD$15:OFFSET(AD93,-1,0))+IF($C93&lt;&gt;1,1,MAX(1,COUNTIF([1]QCI!$A$13:$A$24,OFFSET($E93,-1,0)))),"")</f>
        <v/>
      </c>
      <c r="AE93" s="4" t="str">
        <f ca="1">IF(AND($C93="S",ORÇAMENTO.CodBarra&lt;&gt;""),IF(ORÇAMENTO.Fonte="",ORÇAMENTO.CodBarra,CONCATENATE(ORÇAMENTO.Fonte," ",ORÇAMENTO.CodBarra)))</f>
        <v>SINAPI 91953</v>
      </c>
      <c r="AF93" s="58" t="e">
        <f ca="1">IF(ISERROR(INDIRECT(ORÇAMENTO.BancoRef)),"(abra o arquivo 'Referência "&amp;Excel_BuiltIn_Database&amp;".xls)",IF(OR($C93&lt;&gt;"S",ORÇAMENTO.CodBarra=""),"(Sem Código)",IF(ISERROR(MATCH($AE93,INDIRECT(ORÇAMENTO.BancoRef),0)),"(Código não identificado nas referências)",MATCH($AE93,INDIRECT(ORÇAMENTO.BancoRef),0))))</f>
        <v>#VALUE!</v>
      </c>
      <c r="AG93" s="59" t="e">
        <f ca="1">ROUND(IF(DESONERACAO="sim",REFERENCIA.Desonerado,REFERENCIA.NaoDesonerado),2)</f>
        <v>#VALUE!</v>
      </c>
      <c r="AH93" s="60">
        <f t="shared" si="44"/>
        <v>0.2223</v>
      </c>
      <c r="AJ93" s="61">
        <v>8</v>
      </c>
      <c r="AL93" s="62"/>
      <c r="AM93" s="63" t="e">
        <f t="shared" ca="1" si="0"/>
        <v>#VALUE!</v>
      </c>
      <c r="AN93" s="64" t="e">
        <f t="shared" ca="1" si="45"/>
        <v>#VALUE!</v>
      </c>
    </row>
    <row r="94" spans="1:40" ht="25.5" x14ac:dyDescent="0.2">
      <c r="A94" t="str">
        <f t="shared" si="41"/>
        <v>S</v>
      </c>
      <c r="B94">
        <f t="shared" ca="1" si="46"/>
        <v>3</v>
      </c>
      <c r="C94" t="str">
        <f t="shared" ca="1" si="47"/>
        <v>S</v>
      </c>
      <c r="D94">
        <f t="shared" ca="1" si="48"/>
        <v>0</v>
      </c>
      <c r="E94" t="e">
        <f ca="1">IF($C94=1,OFFSET(E94,-1,0)+MAX(1,COUNTIF([1]QCI!$A$13:$A$24,OFFSET('PLANILHA A LICITAR'!E94,-1,0))),OFFSET(E94,-1,0))</f>
        <v>#VALUE!</v>
      </c>
      <c r="F94">
        <f t="shared" ca="1" si="49"/>
        <v>2</v>
      </c>
      <c r="G94">
        <f t="shared" ca="1" si="50"/>
        <v>6</v>
      </c>
      <c r="H94">
        <f t="shared" ca="1" si="51"/>
        <v>0</v>
      </c>
      <c r="I94" t="e">
        <f t="shared" ca="1" si="52"/>
        <v>#VALUE!</v>
      </c>
      <c r="J94">
        <f t="shared" ca="1" si="59"/>
        <v>0</v>
      </c>
      <c r="K94">
        <f ca="1">IF(OR($C94="S",$C94=0),0,MATCH(OFFSET($D94,0,$C94)+IF($C94&lt;&gt;1,1,COUNTIF([1]QCI!$A$13:$A$24,'PLANILHA A LICITAR'!E94)),OFFSET($D94,1,$C94,ROW($C$145)-ROW($C94)),0))</f>
        <v>0</v>
      </c>
      <c r="L94" s="42" t="e">
        <f t="shared" ca="1" si="53"/>
        <v>#VALUE!</v>
      </c>
      <c r="M94" s="43" t="s">
        <v>7</v>
      </c>
      <c r="N94" s="44" t="str">
        <f t="shared" ca="1" si="54"/>
        <v>Serviço</v>
      </c>
      <c r="O94" s="45" t="e">
        <f t="shared" ca="1" si="55"/>
        <v>#VALUE!</v>
      </c>
      <c r="P94" s="46" t="s">
        <v>62</v>
      </c>
      <c r="Q94" s="47">
        <v>91992</v>
      </c>
      <c r="R94" s="48" t="s">
        <v>171</v>
      </c>
      <c r="S94" s="49" t="s">
        <v>85</v>
      </c>
      <c r="T94" s="50" t="e">
        <f ca="1">OFFSET([1]CÁLCULO!H$15,ROW($T94)-ROW(T$15),0)</f>
        <v>#VALUE!</v>
      </c>
      <c r="U94" s="51" t="e">
        <f t="shared" ca="1" si="23"/>
        <v>#VALUE!</v>
      </c>
      <c r="V94" s="52" t="s">
        <v>10</v>
      </c>
      <c r="W94" s="50" t="e">
        <f ca="1">IF($C94="S",ROUND(IF(TIPOORCAMENTO="Proposto",ORÇAMENTO.CustoUnitario*(1+$AH94),ORÇAMENTO.PrecoUnitarioLicitado),15-13*$AF$10),0)</f>
        <v>#VALUE!</v>
      </c>
      <c r="X94" s="53" t="e">
        <f t="shared" ca="1" si="42"/>
        <v>#VALUE!</v>
      </c>
      <c r="Y94" s="54" t="s">
        <v>63</v>
      </c>
      <c r="Z94" t="e">
        <f t="shared" ca="1" si="56"/>
        <v>#VALUE!</v>
      </c>
      <c r="AA94" s="55" t="e">
        <f ca="1">IF($C94="S",IF($Z94="CP",$X94,IF($Z94="RA",(($X94)*[1]QCI!$AA$3),0)),SomaAgrup)</f>
        <v>#VALUE!</v>
      </c>
      <c r="AB94" s="56" t="e">
        <f t="shared" ca="1" si="43"/>
        <v>#VALUE!</v>
      </c>
      <c r="AC94" s="57" t="e">
        <f ca="1">IF($N94="","",IF(ORÇAMENTO.Descricao="","DESCRIÇÃO",IF(AND($C94="S",ORÇAMENTO.Unidade=""),"UNIDADE",IF($X94&lt;0,"VALOR NEGATIVO",IF(OR(AND(TIPOORCAMENTO="Proposto",$AG94&lt;&gt;"",$AG94&gt;0,ORÇAMENTO.CustoUnitario&gt;$AG94),AND(TIPOORCAMENTO="LICITADO",ORÇAMENTO.PrecoUnitarioLicitado&gt;$AN94)),"ACIMA REF.","")))))</f>
        <v>#VALUE!</v>
      </c>
      <c r="AD94" t="str">
        <f ca="1">IF(C94&lt;=CRONO.NivelExibicao,MAX($AD$15:OFFSET(AD94,-1,0))+IF($C94&lt;&gt;1,1,MAX(1,COUNTIF([1]QCI!$A$13:$A$24,OFFSET($E94,-1,0)))),"")</f>
        <v/>
      </c>
      <c r="AE94" s="4" t="str">
        <f ca="1">IF(AND($C94="S",ORÇAMENTO.CodBarra&lt;&gt;""),IF(ORÇAMENTO.Fonte="",ORÇAMENTO.CodBarra,CONCATENATE(ORÇAMENTO.Fonte," ",ORÇAMENTO.CodBarra)))</f>
        <v>SINAPI 91992</v>
      </c>
      <c r="AF94" s="58" t="e">
        <f ca="1">IF(ISERROR(INDIRECT(ORÇAMENTO.BancoRef)),"(abra o arquivo 'Referência "&amp;Excel_BuiltIn_Database&amp;".xls)",IF(OR($C94&lt;&gt;"S",ORÇAMENTO.CodBarra=""),"(Sem Código)",IF(ISERROR(MATCH($AE94,INDIRECT(ORÇAMENTO.BancoRef),0)),"(Código não identificado nas referências)",MATCH($AE94,INDIRECT(ORÇAMENTO.BancoRef),0))))</f>
        <v>#VALUE!</v>
      </c>
      <c r="AG94" s="59" t="e">
        <f ca="1">ROUND(IF(DESONERACAO="sim",REFERENCIA.Desonerado,REFERENCIA.NaoDesonerado),2)</f>
        <v>#VALUE!</v>
      </c>
      <c r="AH94" s="60">
        <f t="shared" si="44"/>
        <v>0.2223</v>
      </c>
      <c r="AJ94" s="61">
        <v>22</v>
      </c>
      <c r="AL94" s="62"/>
      <c r="AM94" s="63" t="e">
        <f t="shared" ca="1" si="0"/>
        <v>#VALUE!</v>
      </c>
      <c r="AN94" s="64" t="e">
        <f t="shared" ca="1" si="45"/>
        <v>#VALUE!</v>
      </c>
    </row>
    <row r="95" spans="1:40" ht="25.5" x14ac:dyDescent="0.2">
      <c r="A95" t="str">
        <f t="shared" si="41"/>
        <v>S</v>
      </c>
      <c r="B95">
        <f t="shared" ca="1" si="46"/>
        <v>3</v>
      </c>
      <c r="C95" t="str">
        <f t="shared" ca="1" si="47"/>
        <v>S</v>
      </c>
      <c r="D95">
        <f t="shared" ca="1" si="48"/>
        <v>0</v>
      </c>
      <c r="E95" t="e">
        <f ca="1">IF($C95=1,OFFSET(E95,-1,0)+MAX(1,COUNTIF([1]QCI!$A$13:$A$24,OFFSET('PLANILHA A LICITAR'!E95,-1,0))),OFFSET(E95,-1,0))</f>
        <v>#VALUE!</v>
      </c>
      <c r="F95">
        <f t="shared" ca="1" si="49"/>
        <v>2</v>
      </c>
      <c r="G95">
        <f t="shared" ca="1" si="50"/>
        <v>6</v>
      </c>
      <c r="H95">
        <f t="shared" ca="1" si="51"/>
        <v>0</v>
      </c>
      <c r="I95" t="e">
        <f t="shared" ca="1" si="52"/>
        <v>#VALUE!</v>
      </c>
      <c r="J95">
        <f t="shared" ca="1" si="59"/>
        <v>0</v>
      </c>
      <c r="K95">
        <f ca="1">IF(OR($C95="S",$C95=0),0,MATCH(OFFSET($D95,0,$C95)+IF($C95&lt;&gt;1,1,COUNTIF([1]QCI!$A$13:$A$24,'PLANILHA A LICITAR'!E95)),OFFSET($D95,1,$C95,ROW($C$145)-ROW($C95)),0))</f>
        <v>0</v>
      </c>
      <c r="L95" s="42" t="e">
        <f t="shared" ca="1" si="53"/>
        <v>#VALUE!</v>
      </c>
      <c r="M95" s="43" t="s">
        <v>7</v>
      </c>
      <c r="N95" s="44" t="str">
        <f t="shared" ca="1" si="54"/>
        <v>Serviço</v>
      </c>
      <c r="O95" s="45" t="e">
        <f t="shared" ca="1" si="55"/>
        <v>#VALUE!</v>
      </c>
      <c r="P95" s="46" t="s">
        <v>62</v>
      </c>
      <c r="Q95" s="47">
        <v>91997</v>
      </c>
      <c r="R95" s="48" t="s">
        <v>172</v>
      </c>
      <c r="S95" s="49" t="s">
        <v>85</v>
      </c>
      <c r="T95" s="50" t="e">
        <f ca="1">OFFSET([1]CÁLCULO!H$15,ROW($T95)-ROW(T$15),0)</f>
        <v>#VALUE!</v>
      </c>
      <c r="U95" s="51" t="e">
        <f t="shared" ca="1" si="23"/>
        <v>#VALUE!</v>
      </c>
      <c r="V95" s="52" t="s">
        <v>10</v>
      </c>
      <c r="W95" s="50" t="e">
        <f ca="1">IF($C95="S",ROUND(IF(TIPOORCAMENTO="Proposto",ORÇAMENTO.CustoUnitario*(1+$AH95),ORÇAMENTO.PrecoUnitarioLicitado),15-13*$AF$10),0)</f>
        <v>#VALUE!</v>
      </c>
      <c r="X95" s="53" t="e">
        <f t="shared" ca="1" si="42"/>
        <v>#VALUE!</v>
      </c>
      <c r="Y95" s="54" t="s">
        <v>63</v>
      </c>
      <c r="Z95" t="e">
        <f t="shared" ca="1" si="56"/>
        <v>#VALUE!</v>
      </c>
      <c r="AA95" s="55" t="e">
        <f ca="1">IF($C95="S",IF($Z95="CP",$X95,IF($Z95="RA",(($X95)*[1]QCI!$AA$3),0)),SomaAgrup)</f>
        <v>#VALUE!</v>
      </c>
      <c r="AB95" s="56" t="e">
        <f t="shared" ca="1" si="43"/>
        <v>#VALUE!</v>
      </c>
      <c r="AC95" s="57" t="e">
        <f ca="1">IF($N95="","",IF(ORÇAMENTO.Descricao="","DESCRIÇÃO",IF(AND($C95="S",ORÇAMENTO.Unidade=""),"UNIDADE",IF($X95&lt;0,"VALOR NEGATIVO",IF(OR(AND(TIPOORCAMENTO="Proposto",$AG95&lt;&gt;"",$AG95&gt;0,ORÇAMENTO.CustoUnitario&gt;$AG95),AND(TIPOORCAMENTO="LICITADO",ORÇAMENTO.PrecoUnitarioLicitado&gt;$AN95)),"ACIMA REF.","")))))</f>
        <v>#VALUE!</v>
      </c>
      <c r="AD95" t="str">
        <f ca="1">IF(C95&lt;=CRONO.NivelExibicao,MAX($AD$15:OFFSET(AD95,-1,0))+IF($C95&lt;&gt;1,1,MAX(1,COUNTIF([1]QCI!$A$13:$A$24,OFFSET($E95,-1,0)))),"")</f>
        <v/>
      </c>
      <c r="AE95" s="4" t="str">
        <f ca="1">IF(AND($C95="S",ORÇAMENTO.CodBarra&lt;&gt;""),IF(ORÇAMENTO.Fonte="",ORÇAMENTO.CodBarra,CONCATENATE(ORÇAMENTO.Fonte," ",ORÇAMENTO.CodBarra)))</f>
        <v>SINAPI 91997</v>
      </c>
      <c r="AF95" s="58" t="e">
        <f ca="1">IF(ISERROR(INDIRECT(ORÇAMENTO.BancoRef)),"(abra o arquivo 'Referência "&amp;Excel_BuiltIn_Database&amp;".xls)",IF(OR($C95&lt;&gt;"S",ORÇAMENTO.CodBarra=""),"(Sem Código)",IF(ISERROR(MATCH($AE95,INDIRECT(ORÇAMENTO.BancoRef),0)),"(Código não identificado nas referências)",MATCH($AE95,INDIRECT(ORÇAMENTO.BancoRef),0))))</f>
        <v>#VALUE!</v>
      </c>
      <c r="AG95" s="59" t="e">
        <f ca="1">ROUND(IF(DESONERACAO="sim",REFERENCIA.Desonerado,REFERENCIA.NaoDesonerado),2)</f>
        <v>#VALUE!</v>
      </c>
      <c r="AH95" s="60">
        <f t="shared" si="44"/>
        <v>0.2223</v>
      </c>
      <c r="AJ95" s="61">
        <v>12</v>
      </c>
      <c r="AL95" s="62"/>
      <c r="AM95" s="63" t="e">
        <f t="shared" ca="1" si="0"/>
        <v>#VALUE!</v>
      </c>
      <c r="AN95" s="64" t="e">
        <f t="shared" ca="1" si="45"/>
        <v>#VALUE!</v>
      </c>
    </row>
    <row r="96" spans="1:40" ht="25.5" x14ac:dyDescent="0.2">
      <c r="A96" t="str">
        <f t="shared" si="41"/>
        <v>S</v>
      </c>
      <c r="B96">
        <f t="shared" ca="1" si="46"/>
        <v>3</v>
      </c>
      <c r="C96" t="str">
        <f t="shared" ca="1" si="47"/>
        <v>S</v>
      </c>
      <c r="D96">
        <f t="shared" ca="1" si="48"/>
        <v>0</v>
      </c>
      <c r="E96" t="e">
        <f ca="1">IF($C96=1,OFFSET(E96,-1,0)+MAX(1,COUNTIF([1]QCI!$A$13:$A$24,OFFSET('PLANILHA A LICITAR'!E96,-1,0))),OFFSET(E96,-1,0))</f>
        <v>#VALUE!</v>
      </c>
      <c r="F96">
        <f t="shared" ca="1" si="49"/>
        <v>2</v>
      </c>
      <c r="G96">
        <f t="shared" ca="1" si="50"/>
        <v>6</v>
      </c>
      <c r="H96">
        <f t="shared" ca="1" si="51"/>
        <v>0</v>
      </c>
      <c r="I96" t="e">
        <f t="shared" ca="1" si="52"/>
        <v>#VALUE!</v>
      </c>
      <c r="J96">
        <f t="shared" ca="1" si="59"/>
        <v>0</v>
      </c>
      <c r="K96">
        <f ca="1">IF(OR($C96="S",$C96=0),0,MATCH(OFFSET($D96,0,$C96)+IF($C96&lt;&gt;1,1,COUNTIF([1]QCI!$A$13:$A$24,'PLANILHA A LICITAR'!E96)),OFFSET($D96,1,$C96,ROW($C$145)-ROW($C96)),0))</f>
        <v>0</v>
      </c>
      <c r="L96" s="42" t="e">
        <f t="shared" ca="1" si="53"/>
        <v>#VALUE!</v>
      </c>
      <c r="M96" s="43" t="s">
        <v>7</v>
      </c>
      <c r="N96" s="44" t="str">
        <f t="shared" ca="1" si="54"/>
        <v>Serviço</v>
      </c>
      <c r="O96" s="45" t="e">
        <f t="shared" ca="1" si="55"/>
        <v>#VALUE!</v>
      </c>
      <c r="P96" s="46" t="s">
        <v>62</v>
      </c>
      <c r="Q96" s="47">
        <v>92000</v>
      </c>
      <c r="R96" s="48" t="s">
        <v>173</v>
      </c>
      <c r="S96" s="49" t="s">
        <v>85</v>
      </c>
      <c r="T96" s="50" t="e">
        <f ca="1">OFFSET([1]CÁLCULO!H$15,ROW($T96)-ROW(T$15),0)</f>
        <v>#VALUE!</v>
      </c>
      <c r="U96" s="51" t="e">
        <f t="shared" ca="1" si="23"/>
        <v>#VALUE!</v>
      </c>
      <c r="V96" s="52" t="s">
        <v>10</v>
      </c>
      <c r="W96" s="50" t="e">
        <f ca="1">IF($C96="S",ROUND(IF(TIPOORCAMENTO="Proposto",ORÇAMENTO.CustoUnitario*(1+$AH96),ORÇAMENTO.PrecoUnitarioLicitado),15-13*$AF$10),0)</f>
        <v>#VALUE!</v>
      </c>
      <c r="X96" s="53" t="e">
        <f t="shared" ca="1" si="42"/>
        <v>#VALUE!</v>
      </c>
      <c r="Y96" s="54" t="s">
        <v>63</v>
      </c>
      <c r="Z96" t="e">
        <f t="shared" ca="1" si="56"/>
        <v>#VALUE!</v>
      </c>
      <c r="AA96" s="55" t="e">
        <f ca="1">IF($C96="S",IF($Z96="CP",$X96,IF($Z96="RA",(($X96)*[1]QCI!$AA$3),0)),SomaAgrup)</f>
        <v>#VALUE!</v>
      </c>
      <c r="AB96" s="56" t="e">
        <f t="shared" ca="1" si="43"/>
        <v>#VALUE!</v>
      </c>
      <c r="AC96" s="57" t="e">
        <f ca="1">IF($N96="","",IF(ORÇAMENTO.Descricao="","DESCRIÇÃO",IF(AND($C96="S",ORÇAMENTO.Unidade=""),"UNIDADE",IF($X96&lt;0,"VALOR NEGATIVO",IF(OR(AND(TIPOORCAMENTO="Proposto",$AG96&lt;&gt;"",$AG96&gt;0,ORÇAMENTO.CustoUnitario&gt;$AG96),AND(TIPOORCAMENTO="LICITADO",ORÇAMENTO.PrecoUnitarioLicitado&gt;$AN96)),"ACIMA REF.","")))))</f>
        <v>#VALUE!</v>
      </c>
      <c r="AD96" t="str">
        <f ca="1">IF(C96&lt;=CRONO.NivelExibicao,MAX($AD$15:OFFSET(AD96,-1,0))+IF($C96&lt;&gt;1,1,MAX(1,COUNTIF([1]QCI!$A$13:$A$24,OFFSET($E96,-1,0)))),"")</f>
        <v/>
      </c>
      <c r="AE96" s="4" t="str">
        <f ca="1">IF(AND($C96="S",ORÇAMENTO.CodBarra&lt;&gt;""),IF(ORÇAMENTO.Fonte="",ORÇAMENTO.CodBarra,CONCATENATE(ORÇAMENTO.Fonte," ",ORÇAMENTO.CodBarra)))</f>
        <v>SINAPI 92000</v>
      </c>
      <c r="AF96" s="58" t="e">
        <f ca="1">IF(ISERROR(INDIRECT(ORÇAMENTO.BancoRef)),"(abra o arquivo 'Referência "&amp;Excel_BuiltIn_Database&amp;".xls)",IF(OR($C96&lt;&gt;"S",ORÇAMENTO.CodBarra=""),"(Sem Código)",IF(ISERROR(MATCH($AE96,INDIRECT(ORÇAMENTO.BancoRef),0)),"(Código não identificado nas referências)",MATCH($AE96,INDIRECT(ORÇAMENTO.BancoRef),0))))</f>
        <v>#VALUE!</v>
      </c>
      <c r="AG96" s="59" t="e">
        <f ca="1">ROUND(IF(DESONERACAO="sim",REFERENCIA.Desonerado,REFERENCIA.NaoDesonerado),2)</f>
        <v>#VALUE!</v>
      </c>
      <c r="AH96" s="60">
        <f t="shared" si="44"/>
        <v>0.2223</v>
      </c>
      <c r="AJ96" s="61">
        <v>20</v>
      </c>
      <c r="AL96" s="62"/>
      <c r="AM96" s="63" t="e">
        <f t="shared" ca="1" si="0"/>
        <v>#VALUE!</v>
      </c>
      <c r="AN96" s="64" t="e">
        <f t="shared" ca="1" si="45"/>
        <v>#VALUE!</v>
      </c>
    </row>
    <row r="97" spans="1:40" ht="25.5" x14ac:dyDescent="0.2">
      <c r="A97" t="str">
        <f t="shared" si="41"/>
        <v>S</v>
      </c>
      <c r="B97">
        <f t="shared" ca="1" si="46"/>
        <v>3</v>
      </c>
      <c r="C97" t="str">
        <f t="shared" ca="1" si="47"/>
        <v>S</v>
      </c>
      <c r="D97">
        <f t="shared" ca="1" si="48"/>
        <v>0</v>
      </c>
      <c r="E97" t="e">
        <f ca="1">IF($C97=1,OFFSET(E97,-1,0)+MAX(1,COUNTIF([1]QCI!$A$13:$A$24,OFFSET('PLANILHA A LICITAR'!E97,-1,0))),OFFSET(E97,-1,0))</f>
        <v>#VALUE!</v>
      </c>
      <c r="F97">
        <f t="shared" ca="1" si="49"/>
        <v>2</v>
      </c>
      <c r="G97">
        <f t="shared" ca="1" si="50"/>
        <v>6</v>
      </c>
      <c r="H97">
        <f t="shared" ca="1" si="51"/>
        <v>0</v>
      </c>
      <c r="I97" t="e">
        <f t="shared" ca="1" si="52"/>
        <v>#VALUE!</v>
      </c>
      <c r="J97">
        <f t="shared" ca="1" si="59"/>
        <v>0</v>
      </c>
      <c r="K97">
        <f ca="1">IF(OR($C97="S",$C97=0),0,MATCH(OFFSET($D97,0,$C97)+IF($C97&lt;&gt;1,1,COUNTIF([1]QCI!$A$13:$A$24,'PLANILHA A LICITAR'!E97)),OFFSET($D97,1,$C97,ROW($C$145)-ROW($C97)),0))</f>
        <v>0</v>
      </c>
      <c r="L97" s="42" t="e">
        <f t="shared" ca="1" si="53"/>
        <v>#VALUE!</v>
      </c>
      <c r="M97" s="43" t="s">
        <v>7</v>
      </c>
      <c r="N97" s="44" t="str">
        <f t="shared" ca="1" si="54"/>
        <v>Serviço</v>
      </c>
      <c r="O97" s="45" t="e">
        <f t="shared" ca="1" si="55"/>
        <v>#VALUE!</v>
      </c>
      <c r="P97" s="46" t="s">
        <v>62</v>
      </c>
      <c r="Q97" s="47" t="s">
        <v>174</v>
      </c>
      <c r="R97" s="48" t="s">
        <v>175</v>
      </c>
      <c r="S97" s="49" t="s">
        <v>85</v>
      </c>
      <c r="T97" s="50" t="e">
        <f ca="1">OFFSET([1]CÁLCULO!H$15,ROW($T97)-ROW(T$15),0)</f>
        <v>#VALUE!</v>
      </c>
      <c r="U97" s="51">
        <v>172.24</v>
      </c>
      <c r="V97" s="52" t="s">
        <v>10</v>
      </c>
      <c r="W97" s="50">
        <f ca="1">IF($C97="S",ROUND(IF(TIPOORCAMENTO="Proposto",ORÇAMENTO.CustoUnitario*(1+$AH97),ORÇAMENTO.PrecoUnitarioLicitado),15-13*$AF$10),0)</f>
        <v>210.528952</v>
      </c>
      <c r="X97" s="53" t="e">
        <f t="shared" ca="1" si="42"/>
        <v>#VALUE!</v>
      </c>
      <c r="Y97" s="54" t="s">
        <v>63</v>
      </c>
      <c r="Z97" t="e">
        <f t="shared" ca="1" si="56"/>
        <v>#VALUE!</v>
      </c>
      <c r="AA97" s="55" t="e">
        <f ca="1">IF($C97="S",IF($Z97="CP",$X97,IF($Z97="RA",(($X97)*[1]QCI!$AA$3),0)),SomaAgrup)</f>
        <v>#VALUE!</v>
      </c>
      <c r="AB97" s="56" t="e">
        <f t="shared" ca="1" si="43"/>
        <v>#VALUE!</v>
      </c>
      <c r="AC97" s="57" t="e">
        <f ca="1">IF($N97="","",IF(ORÇAMENTO.Descricao="","DESCRIÇÃO",IF(AND($C97="S",ORÇAMENTO.Unidade=""),"UNIDADE",IF($X97&lt;0,"VALOR NEGATIVO",IF(OR(AND(TIPOORCAMENTO="Proposto",$AG97&lt;&gt;"",$AG97&gt;0,ORÇAMENTO.CustoUnitario&gt;$AG97),AND(TIPOORCAMENTO="LICITADO",ORÇAMENTO.PrecoUnitarioLicitado&gt;$AN97)),"ACIMA REF.","")))))</f>
        <v>#VALUE!</v>
      </c>
      <c r="AD97" t="str">
        <f ca="1">IF(C97&lt;=CRONO.NivelExibicao,MAX($AD$15:OFFSET(AD97,-1,0))+IF($C97&lt;&gt;1,1,MAX(1,COUNTIF([1]QCI!$A$13:$A$24,OFFSET($E97,-1,0)))),"")</f>
        <v/>
      </c>
      <c r="AE97" s="4" t="str">
        <f ca="1">IF(AND($C97="S",ORÇAMENTO.CodBarra&lt;&gt;""),IF(ORÇAMENTO.Fonte="",ORÇAMENTO.CodBarra,CONCATENATE(ORÇAMENTO.Fonte," ",ORÇAMENTO.CodBarra)))</f>
        <v>SINAPI AUX2768</v>
      </c>
      <c r="AF97" s="58" t="e">
        <f ca="1">IF(ISERROR(INDIRECT(ORÇAMENTO.BancoRef)),"(abra o arquivo 'Referência "&amp;Excel_BuiltIn_Database&amp;".xls)",IF(OR($C97&lt;&gt;"S",ORÇAMENTO.CodBarra=""),"(Sem Código)",IF(ISERROR(MATCH($AE97,INDIRECT(ORÇAMENTO.BancoRef),0)),"(Código não identificado nas referências)",MATCH($AE97,INDIRECT(ORÇAMENTO.BancoRef),0))))</f>
        <v>#VALUE!</v>
      </c>
      <c r="AG97" s="59" t="e">
        <f ca="1">ROUND(IF(DESONERACAO="sim",REFERENCIA.Desonerado,REFERENCIA.NaoDesonerado),2)</f>
        <v>#VALUE!</v>
      </c>
      <c r="AH97" s="60">
        <f t="shared" si="44"/>
        <v>0.2223</v>
      </c>
      <c r="AJ97" s="61">
        <v>20</v>
      </c>
      <c r="AL97" s="62"/>
      <c r="AM97" s="63" t="e">
        <f t="shared" ca="1" si="0"/>
        <v>#VALUE!</v>
      </c>
      <c r="AN97" s="64">
        <f t="shared" si="45"/>
        <v>210.53</v>
      </c>
    </row>
    <row r="98" spans="1:40" ht="25.5" x14ac:dyDescent="0.2">
      <c r="A98" t="str">
        <f t="shared" si="41"/>
        <v>S</v>
      </c>
      <c r="B98">
        <f t="shared" ca="1" si="46"/>
        <v>3</v>
      </c>
      <c r="C98" t="str">
        <f t="shared" ca="1" si="47"/>
        <v>S</v>
      </c>
      <c r="D98">
        <f t="shared" ca="1" si="48"/>
        <v>0</v>
      </c>
      <c r="E98" t="e">
        <f ca="1">IF($C98=1,OFFSET(E98,-1,0)+MAX(1,COUNTIF([1]QCI!$A$13:$A$24,OFFSET('PLANILHA A LICITAR'!E98,-1,0))),OFFSET(E98,-1,0))</f>
        <v>#VALUE!</v>
      </c>
      <c r="F98">
        <f t="shared" ca="1" si="49"/>
        <v>2</v>
      </c>
      <c r="G98">
        <f t="shared" ca="1" si="50"/>
        <v>6</v>
      </c>
      <c r="H98">
        <f t="shared" ca="1" si="51"/>
        <v>0</v>
      </c>
      <c r="I98" t="e">
        <f t="shared" ca="1" si="52"/>
        <v>#VALUE!</v>
      </c>
      <c r="J98">
        <f t="shared" ca="1" si="59"/>
        <v>0</v>
      </c>
      <c r="K98">
        <f ca="1">IF(OR($C98="S",$C98=0),0,MATCH(OFFSET($D98,0,$C98)+IF($C98&lt;&gt;1,1,COUNTIF([1]QCI!$A$13:$A$24,'PLANILHA A LICITAR'!E98)),OFFSET($D98,1,$C98,ROW($C$145)-ROW($C98)),0))</f>
        <v>0</v>
      </c>
      <c r="L98" s="42" t="e">
        <f t="shared" ca="1" si="53"/>
        <v>#VALUE!</v>
      </c>
      <c r="M98" s="43" t="s">
        <v>7</v>
      </c>
      <c r="N98" s="44" t="str">
        <f t="shared" ca="1" si="54"/>
        <v>Serviço</v>
      </c>
      <c r="O98" s="45" t="e">
        <f t="shared" ca="1" si="55"/>
        <v>#VALUE!</v>
      </c>
      <c r="P98" s="46" t="s">
        <v>62</v>
      </c>
      <c r="Q98" s="47" t="s">
        <v>176</v>
      </c>
      <c r="R98" s="48" t="s">
        <v>177</v>
      </c>
      <c r="S98" s="49" t="s">
        <v>178</v>
      </c>
      <c r="T98" s="50" t="e">
        <f ca="1">OFFSET([1]CÁLCULO!H$15,ROW($T98)-ROW(T$15),0)</f>
        <v>#VALUE!</v>
      </c>
      <c r="U98" s="51">
        <v>707.04</v>
      </c>
      <c r="V98" s="52" t="s">
        <v>10</v>
      </c>
      <c r="W98" s="50">
        <f ca="1">IF($C98="S",ROUND(IF(TIPOORCAMENTO="Proposto",ORÇAMENTO.CustoUnitario*(1+$AH98),ORÇAMENTO.PrecoUnitarioLicitado),15-13*$AF$10),0)</f>
        <v>864.21499200000005</v>
      </c>
      <c r="X98" s="53" t="e">
        <f t="shared" ca="1" si="42"/>
        <v>#VALUE!</v>
      </c>
      <c r="Y98" s="54" t="s">
        <v>63</v>
      </c>
      <c r="Z98" t="e">
        <f t="shared" ca="1" si="56"/>
        <v>#VALUE!</v>
      </c>
      <c r="AA98" s="55" t="e">
        <f ca="1">IF($C98="S",IF($Z98="CP",$X98,IF($Z98="RA",(($X98)*[1]QCI!$AA$3),0)),SomaAgrup)</f>
        <v>#VALUE!</v>
      </c>
      <c r="AB98" s="56" t="e">
        <f t="shared" ca="1" si="43"/>
        <v>#VALUE!</v>
      </c>
      <c r="AC98" s="57" t="e">
        <f ca="1">IF($N98="","",IF(ORÇAMENTO.Descricao="","DESCRIÇÃO",IF(AND($C98="S",ORÇAMENTO.Unidade=""),"UNIDADE",IF($X98&lt;0,"VALOR NEGATIVO",IF(OR(AND(TIPOORCAMENTO="Proposto",$AG98&lt;&gt;"",$AG98&gt;0,ORÇAMENTO.CustoUnitario&gt;$AG98),AND(TIPOORCAMENTO="LICITADO",ORÇAMENTO.PrecoUnitarioLicitado&gt;$AN98)),"ACIMA REF.","")))))</f>
        <v>#VALUE!</v>
      </c>
      <c r="AD98" t="str">
        <f ca="1">IF(C98&lt;=CRONO.NivelExibicao,MAX($AD$15:OFFSET(AD98,-1,0))+IF($C98&lt;&gt;1,1,MAX(1,COUNTIF([1]QCI!$A$13:$A$24,OFFSET($E98,-1,0)))),"")</f>
        <v/>
      </c>
      <c r="AE98" s="4" t="str">
        <f ca="1">IF(AND($C98="S",ORÇAMENTO.CodBarra&lt;&gt;""),IF(ORÇAMENTO.Fonte="",ORÇAMENTO.CodBarra,CONCATENATE(ORÇAMENTO.Fonte," ",ORÇAMENTO.CodBarra)))</f>
        <v>SINAPI AUX2877</v>
      </c>
      <c r="AF98" s="58" t="e">
        <f ca="1">IF(ISERROR(INDIRECT(ORÇAMENTO.BancoRef)),"(abra o arquivo 'Referência "&amp;Excel_BuiltIn_Database&amp;".xls)",IF(OR($C98&lt;&gt;"S",ORÇAMENTO.CodBarra=""),"(Sem Código)",IF(ISERROR(MATCH($AE98,INDIRECT(ORÇAMENTO.BancoRef),0)),"(Código não identificado nas referências)",MATCH($AE98,INDIRECT(ORÇAMENTO.BancoRef),0))))</f>
        <v>#VALUE!</v>
      </c>
      <c r="AG98" s="59" t="e">
        <f ca="1">ROUND(IF(DESONERACAO="sim",REFERENCIA.Desonerado,REFERENCIA.NaoDesonerado),2)</f>
        <v>#VALUE!</v>
      </c>
      <c r="AH98" s="60">
        <f t="shared" si="44"/>
        <v>0.2223</v>
      </c>
      <c r="AJ98" s="61">
        <v>18</v>
      </c>
      <c r="AL98" s="62"/>
      <c r="AM98" s="63" t="e">
        <f t="shared" ca="1" si="0"/>
        <v>#VALUE!</v>
      </c>
      <c r="AN98" s="64">
        <f t="shared" si="45"/>
        <v>864.21</v>
      </c>
    </row>
    <row r="99" spans="1:40" ht="38.25" x14ac:dyDescent="0.2">
      <c r="A99" t="str">
        <f t="shared" si="41"/>
        <v>S</v>
      </c>
      <c r="B99">
        <f t="shared" ca="1" si="46"/>
        <v>3</v>
      </c>
      <c r="C99" t="str">
        <f t="shared" ca="1" si="47"/>
        <v>S</v>
      </c>
      <c r="D99">
        <f t="shared" ca="1" si="48"/>
        <v>0</v>
      </c>
      <c r="E99" t="e">
        <f ca="1">IF($C99=1,OFFSET(E99,-1,0)+MAX(1,COUNTIF([1]QCI!$A$13:$A$24,OFFSET('PLANILHA A LICITAR'!E99,-1,0))),OFFSET(E99,-1,0))</f>
        <v>#VALUE!</v>
      </c>
      <c r="F99">
        <f t="shared" ca="1" si="49"/>
        <v>2</v>
      </c>
      <c r="G99">
        <f t="shared" ca="1" si="50"/>
        <v>6</v>
      </c>
      <c r="H99">
        <f t="shared" ca="1" si="51"/>
        <v>0</v>
      </c>
      <c r="I99" t="e">
        <f t="shared" ca="1" si="52"/>
        <v>#VALUE!</v>
      </c>
      <c r="J99">
        <f t="shared" ca="1" si="59"/>
        <v>0</v>
      </c>
      <c r="K99">
        <f ca="1">IF(OR($C99="S",$C99=0),0,MATCH(OFFSET($D99,0,$C99)+IF($C99&lt;&gt;1,1,COUNTIF([1]QCI!$A$13:$A$24,'PLANILHA A LICITAR'!E99)),OFFSET($D99,1,$C99,ROW($C$145)-ROW($C99)),0))</f>
        <v>0</v>
      </c>
      <c r="L99" s="42" t="e">
        <f t="shared" ca="1" si="53"/>
        <v>#VALUE!</v>
      </c>
      <c r="M99" s="43" t="s">
        <v>7</v>
      </c>
      <c r="N99" s="44" t="str">
        <f t="shared" ca="1" si="54"/>
        <v>Serviço</v>
      </c>
      <c r="O99" s="45" t="e">
        <f t="shared" ca="1" si="55"/>
        <v>#VALUE!</v>
      </c>
      <c r="P99" s="46" t="s">
        <v>70</v>
      </c>
      <c r="Q99" s="47">
        <v>39378</v>
      </c>
      <c r="R99" s="48" t="s">
        <v>179</v>
      </c>
      <c r="S99" s="49" t="s">
        <v>105</v>
      </c>
      <c r="T99" s="50" t="e">
        <f ca="1">OFFSET([1]CÁLCULO!H$15,ROW($T99)-ROW(T$15),0)</f>
        <v>#VALUE!</v>
      </c>
      <c r="U99" s="51" t="e">
        <f t="shared" ca="1" si="23"/>
        <v>#VALUE!</v>
      </c>
      <c r="V99" s="52" t="s">
        <v>10</v>
      </c>
      <c r="W99" s="50" t="e">
        <f ca="1">IF($C99="S",ROUND(IF(TIPOORCAMENTO="Proposto",ORÇAMENTO.CustoUnitario*(1+$AH99),ORÇAMENTO.PrecoUnitarioLicitado),15-13*$AF$10),0)</f>
        <v>#VALUE!</v>
      </c>
      <c r="X99" s="53" t="e">
        <f t="shared" ca="1" si="42"/>
        <v>#VALUE!</v>
      </c>
      <c r="Y99" s="54" t="s">
        <v>63</v>
      </c>
      <c r="Z99" t="e">
        <f t="shared" ca="1" si="56"/>
        <v>#VALUE!</v>
      </c>
      <c r="AA99" s="55" t="e">
        <f ca="1">IF($C99="S",IF($Z99="CP",$X99,IF($Z99="RA",(($X99)*[1]QCI!$AA$3),0)),SomaAgrup)</f>
        <v>#VALUE!</v>
      </c>
      <c r="AB99" s="56" t="e">
        <f t="shared" ca="1" si="43"/>
        <v>#VALUE!</v>
      </c>
      <c r="AC99" s="57" t="e">
        <f ca="1">IF($N99="","",IF(ORÇAMENTO.Descricao="","DESCRIÇÃO",IF(AND($C99="S",ORÇAMENTO.Unidade=""),"UNIDADE",IF($X99&lt;0,"VALOR NEGATIVO",IF(OR(AND(TIPOORCAMENTO="Proposto",$AG99&lt;&gt;"",$AG99&gt;0,ORÇAMENTO.CustoUnitario&gt;$AG99),AND(TIPOORCAMENTO="LICITADO",ORÇAMENTO.PrecoUnitarioLicitado&gt;$AN99)),"ACIMA REF.","")))))</f>
        <v>#VALUE!</v>
      </c>
      <c r="AD99" t="str">
        <f ca="1">IF(C99&lt;=CRONO.NivelExibicao,MAX($AD$15:OFFSET(AD99,-1,0))+IF($C99&lt;&gt;1,1,MAX(1,COUNTIF([1]QCI!$A$13:$A$24,OFFSET($E99,-1,0)))),"")</f>
        <v/>
      </c>
      <c r="AE99" s="4" t="str">
        <f ca="1">IF(AND($C99="S",ORÇAMENTO.CodBarra&lt;&gt;""),IF(ORÇAMENTO.Fonte="",ORÇAMENTO.CodBarra,CONCATENATE(ORÇAMENTO.Fonte," ",ORÇAMENTO.CodBarra)))</f>
        <v>SINAPI-I 39378</v>
      </c>
      <c r="AF99" s="58" t="e">
        <f ca="1">IF(ISERROR(INDIRECT(ORÇAMENTO.BancoRef)),"(abra o arquivo 'Referência "&amp;Excel_BuiltIn_Database&amp;".xls)",IF(OR($C99&lt;&gt;"S",ORÇAMENTO.CodBarra=""),"(Sem Código)",IF(ISERROR(MATCH($AE99,INDIRECT(ORÇAMENTO.BancoRef),0)),"(Código não identificado nas referências)",MATCH($AE99,INDIRECT(ORÇAMENTO.BancoRef),0))))</f>
        <v>#VALUE!</v>
      </c>
      <c r="AG99" s="59" t="e">
        <f ca="1">ROUND(IF(DESONERACAO="sim",REFERENCIA.Desonerado,REFERENCIA.NaoDesonerado),2)</f>
        <v>#VALUE!</v>
      </c>
      <c r="AH99" s="60">
        <f t="shared" si="44"/>
        <v>0.2223</v>
      </c>
      <c r="AJ99" s="61">
        <v>14</v>
      </c>
      <c r="AL99" s="62"/>
      <c r="AM99" s="63" t="e">
        <f t="shared" ca="1" si="0"/>
        <v>#VALUE!</v>
      </c>
      <c r="AN99" s="64" t="e">
        <f t="shared" ca="1" si="45"/>
        <v>#VALUE!</v>
      </c>
    </row>
    <row r="100" spans="1:40" x14ac:dyDescent="0.2">
      <c r="A100">
        <f t="shared" si="41"/>
        <v>3</v>
      </c>
      <c r="B100">
        <f t="shared" ca="1" si="46"/>
        <v>3</v>
      </c>
      <c r="C100">
        <f t="shared" ca="1" si="47"/>
        <v>3</v>
      </c>
      <c r="D100">
        <f t="shared" ca="1" si="48"/>
        <v>14</v>
      </c>
      <c r="E100" t="e">
        <f ca="1">IF($C100=1,OFFSET(E100,-1,0)+MAX(1,COUNTIF([1]QCI!$A$13:$A$24,OFFSET('PLANILHA A LICITAR'!E100,-1,0))),OFFSET(E100,-1,0))</f>
        <v>#VALUE!</v>
      </c>
      <c r="F100">
        <f t="shared" ca="1" si="49"/>
        <v>2</v>
      </c>
      <c r="G100">
        <f t="shared" ca="1" si="50"/>
        <v>7</v>
      </c>
      <c r="H100">
        <f t="shared" ca="1" si="51"/>
        <v>0</v>
      </c>
      <c r="I100">
        <f t="shared" ca="1" si="52"/>
        <v>0</v>
      </c>
      <c r="J100">
        <f t="shared" ca="1" si="59"/>
        <v>45</v>
      </c>
      <c r="K100">
        <f ca="1">IF(OR($C100="S",$C100=0),0,MATCH(OFFSET($D100,0,$C100)+IF($C100&lt;&gt;1,1,COUNTIF([1]QCI!$A$13:$A$24,'PLANILHA A LICITAR'!E100)),OFFSET($D100,1,$C100,ROW($C$145)-ROW($C100)),0))</f>
        <v>14</v>
      </c>
      <c r="L100" s="42" t="e">
        <f t="shared" ca="1" si="53"/>
        <v>#VALUE!</v>
      </c>
      <c r="M100" s="43" t="s">
        <v>5</v>
      </c>
      <c r="N100" s="44" t="str">
        <f t="shared" ca="1" si="54"/>
        <v>Nível 3</v>
      </c>
      <c r="O100" s="45" t="e">
        <f t="shared" ca="1" si="55"/>
        <v>#VALUE!</v>
      </c>
      <c r="P100" s="46" t="s">
        <v>62</v>
      </c>
      <c r="Q100" s="47"/>
      <c r="R100" s="48" t="s">
        <v>180</v>
      </c>
      <c r="S100" s="49" t="s">
        <v>67</v>
      </c>
      <c r="T100" s="50" t="e">
        <f ca="1">OFFSET([1]CÁLCULO!H$15,ROW($T100)-ROW(T$15),0)</f>
        <v>#VALUE!</v>
      </c>
      <c r="U100" s="51"/>
      <c r="V100" s="52" t="s">
        <v>10</v>
      </c>
      <c r="W100" s="50">
        <f ca="1">IF($C100="S",ROUND(IF(TIPOORCAMENTO="Proposto",ORÇAMENTO.CustoUnitario*(1+$AH100),ORÇAMENTO.PrecoUnitarioLicitado),15-13*$AF$10),0)</f>
        <v>0</v>
      </c>
      <c r="X100" s="53" t="e">
        <f t="shared" ca="1" si="42"/>
        <v>#VALUE!</v>
      </c>
      <c r="Y100" s="54" t="s">
        <v>63</v>
      </c>
      <c r="Z100" t="e">
        <f t="shared" ca="1" si="56"/>
        <v>#VALUE!</v>
      </c>
      <c r="AA100" s="55" t="e">
        <f ca="1">IF($C100="S",IF($Z100="CP",$X100,IF($Z100="RA",(($X100)*[1]QCI!$AA$3),0)),SomaAgrup)</f>
        <v>#VALUE!</v>
      </c>
      <c r="AB100" s="56" t="e">
        <f t="shared" ca="1" si="43"/>
        <v>#VALUE!</v>
      </c>
      <c r="AC100" s="57" t="e">
        <f ca="1">IF($N100="","",IF(ORÇAMENTO.Descricao="","DESCRIÇÃO",IF(AND($C100="S",ORÇAMENTO.Unidade=""),"UNIDADE",IF($X100&lt;0,"VALOR NEGATIVO",IF(OR(AND(TIPOORCAMENTO="Proposto",$AG100&lt;&gt;"",$AG100&gt;0,ORÇAMENTO.CustoUnitario&gt;$AG100),AND(TIPOORCAMENTO="LICITADO",ORÇAMENTO.PrecoUnitarioLicitado&gt;$AN100)),"ACIMA REF.","")))))</f>
        <v>#VALUE!</v>
      </c>
      <c r="AD100" t="e">
        <f ca="1">IF(C100&lt;=CRONO.NivelExibicao,MAX($AD$15:OFFSET(AD100,-1,0))+IF($C100&lt;&gt;1,1,MAX(1,COUNTIF([1]QCI!$A$13:$A$24,OFFSET($E100,-1,0)))),"")</f>
        <v>#VALUE!</v>
      </c>
      <c r="AE100" s="4" t="b">
        <f ca="1">IF(AND($C100="S",ORÇAMENTO.CodBarra&lt;&gt;""),IF(ORÇAMENTO.Fonte="",ORÇAMENTO.CodBarra,CONCATENATE(ORÇAMENTO.Fonte," ",ORÇAMENTO.CodBarra)))</f>
        <v>0</v>
      </c>
      <c r="AF100" s="58" t="e">
        <f ca="1">IF(ISERROR(INDIRECT(ORÇAMENTO.BancoRef)),"(abra o arquivo 'Referência "&amp;Excel_BuiltIn_Database&amp;".xls)",IF(OR($C100&lt;&gt;"S",ORÇAMENTO.CodBarra=""),"(Sem Código)",IF(ISERROR(MATCH($AE100,INDIRECT(ORÇAMENTO.BancoRef),0)),"(Código não identificado nas referências)",MATCH($AE100,INDIRECT(ORÇAMENTO.BancoRef),0))))</f>
        <v>#VALUE!</v>
      </c>
      <c r="AG100" s="59" t="e">
        <f ca="1">ROUND(IF(DESONERACAO="sim",REFERENCIA.Desonerado,REFERENCIA.NaoDesonerado),2)</f>
        <v>#VALUE!</v>
      </c>
      <c r="AH100" s="60">
        <f t="shared" si="44"/>
        <v>0.2223</v>
      </c>
      <c r="AJ100" s="61"/>
      <c r="AL100" s="62"/>
      <c r="AM100" s="63" t="e">
        <f t="shared" ca="1" si="0"/>
        <v>#VALUE!</v>
      </c>
      <c r="AN100" s="64">
        <f t="shared" si="45"/>
        <v>0</v>
      </c>
    </row>
    <row r="101" spans="1:40" ht="25.5" x14ac:dyDescent="0.2">
      <c r="A101" t="str">
        <f t="shared" si="41"/>
        <v>S</v>
      </c>
      <c r="B101">
        <f t="shared" ca="1" si="46"/>
        <v>3</v>
      </c>
      <c r="C101" t="str">
        <f t="shared" ca="1" si="47"/>
        <v>S</v>
      </c>
      <c r="D101">
        <f t="shared" ca="1" si="48"/>
        <v>0</v>
      </c>
      <c r="E101" t="e">
        <f ca="1">IF($C101=1,OFFSET(E101,-1,0)+MAX(1,COUNTIF([1]QCI!$A$13:$A$24,OFFSET('PLANILHA A LICITAR'!E101,-1,0))),OFFSET(E101,-1,0))</f>
        <v>#VALUE!</v>
      </c>
      <c r="F101">
        <f t="shared" ca="1" si="49"/>
        <v>2</v>
      </c>
      <c r="G101">
        <f t="shared" ca="1" si="50"/>
        <v>7</v>
      </c>
      <c r="H101">
        <f t="shared" ca="1" si="51"/>
        <v>0</v>
      </c>
      <c r="I101" t="e">
        <f t="shared" ca="1" si="52"/>
        <v>#VALUE!</v>
      </c>
      <c r="J101">
        <f t="shared" ca="1" si="59"/>
        <v>0</v>
      </c>
      <c r="K101">
        <f ca="1">IF(OR($C101="S",$C101=0),0,MATCH(OFFSET($D101,0,$C101)+IF($C101&lt;&gt;1,1,COUNTIF([1]QCI!$A$13:$A$24,'PLANILHA A LICITAR'!E101)),OFFSET($D101,1,$C101,ROW($C$145)-ROW($C101)),0))</f>
        <v>0</v>
      </c>
      <c r="L101" s="42" t="e">
        <f t="shared" ca="1" si="53"/>
        <v>#VALUE!</v>
      </c>
      <c r="M101" s="43" t="s">
        <v>7</v>
      </c>
      <c r="N101" s="44" t="str">
        <f t="shared" ca="1" si="54"/>
        <v>Serviço</v>
      </c>
      <c r="O101" s="45" t="e">
        <f t="shared" ca="1" si="55"/>
        <v>#VALUE!</v>
      </c>
      <c r="P101" s="46" t="s">
        <v>62</v>
      </c>
      <c r="Q101" s="47">
        <v>86888</v>
      </c>
      <c r="R101" s="48" t="s">
        <v>181</v>
      </c>
      <c r="S101" s="49" t="s">
        <v>85</v>
      </c>
      <c r="T101" s="50" t="e">
        <f ca="1">OFFSET([1]CÁLCULO!H$15,ROW($T101)-ROW(T$15),0)</f>
        <v>#VALUE!</v>
      </c>
      <c r="U101" s="51" t="e">
        <f ca="1">AG101</f>
        <v>#VALUE!</v>
      </c>
      <c r="V101" s="52" t="s">
        <v>10</v>
      </c>
      <c r="W101" s="50" t="e">
        <f ca="1">IF($C101="S",ROUND(IF(TIPOORCAMENTO="Proposto",ORÇAMENTO.CustoUnitario*(1+$AH101),ORÇAMENTO.PrecoUnitarioLicitado),15-13*$AF$10),0)</f>
        <v>#VALUE!</v>
      </c>
      <c r="X101" s="53" t="e">
        <f t="shared" ca="1" si="42"/>
        <v>#VALUE!</v>
      </c>
      <c r="Y101" s="54" t="s">
        <v>63</v>
      </c>
      <c r="Z101" t="e">
        <f t="shared" ca="1" si="56"/>
        <v>#VALUE!</v>
      </c>
      <c r="AA101" s="55" t="e">
        <f ca="1">IF($C101="S",IF($Z101="CP",$X101,IF($Z101="RA",(($X101)*[1]QCI!$AA$3),0)),SomaAgrup)</f>
        <v>#VALUE!</v>
      </c>
      <c r="AB101" s="56" t="e">
        <f t="shared" ca="1" si="43"/>
        <v>#VALUE!</v>
      </c>
      <c r="AC101" s="57" t="e">
        <f ca="1">IF($N101="","",IF(ORÇAMENTO.Descricao="","DESCRIÇÃO",IF(AND($C101="S",ORÇAMENTO.Unidade=""),"UNIDADE",IF($X101&lt;0,"VALOR NEGATIVO",IF(OR(AND(TIPOORCAMENTO="Proposto",$AG101&lt;&gt;"",$AG101&gt;0,ORÇAMENTO.CustoUnitario&gt;$AG101),AND(TIPOORCAMENTO="LICITADO",ORÇAMENTO.PrecoUnitarioLicitado&gt;$AN101)),"ACIMA REF.","")))))</f>
        <v>#VALUE!</v>
      </c>
      <c r="AD101" t="str">
        <f ca="1">IF(C101&lt;=CRONO.NivelExibicao,MAX($AD$15:OFFSET(AD101,-1,0))+IF($C101&lt;&gt;1,1,MAX(1,COUNTIF([1]QCI!$A$13:$A$24,OFFSET($E101,-1,0)))),"")</f>
        <v/>
      </c>
      <c r="AE101" s="4" t="str">
        <f ca="1">IF(AND($C101="S",ORÇAMENTO.CodBarra&lt;&gt;""),IF(ORÇAMENTO.Fonte="",ORÇAMENTO.CodBarra,CONCATENATE(ORÇAMENTO.Fonte," ",ORÇAMENTO.CodBarra)))</f>
        <v>SINAPI 86888</v>
      </c>
      <c r="AF101" s="58" t="e">
        <f ca="1">IF(ISERROR(INDIRECT(ORÇAMENTO.BancoRef)),"(abra o arquivo 'Referência "&amp;Excel_BuiltIn_Database&amp;".xls)",IF(OR($C101&lt;&gt;"S",ORÇAMENTO.CodBarra=""),"(Sem Código)",IF(ISERROR(MATCH($AE101,INDIRECT(ORÇAMENTO.BancoRef),0)),"(Código não identificado nas referências)",MATCH($AE101,INDIRECT(ORÇAMENTO.BancoRef),0))))</f>
        <v>#VALUE!</v>
      </c>
      <c r="AG101" s="59" t="e">
        <f ca="1">ROUND(IF(DESONERACAO="sim",REFERENCIA.Desonerado,REFERENCIA.NaoDesonerado),2)</f>
        <v>#VALUE!</v>
      </c>
      <c r="AH101" s="60">
        <f t="shared" si="44"/>
        <v>0.2223</v>
      </c>
      <c r="AJ101" s="61">
        <v>8</v>
      </c>
      <c r="AL101" s="62"/>
      <c r="AM101" s="63" t="e">
        <f t="shared" ca="1" si="0"/>
        <v>#VALUE!</v>
      </c>
      <c r="AN101" s="64" t="e">
        <f t="shared" ca="1" si="45"/>
        <v>#VALUE!</v>
      </c>
    </row>
    <row r="102" spans="1:40" ht="51" x14ac:dyDescent="0.2">
      <c r="A102" t="str">
        <f t="shared" si="41"/>
        <v>S</v>
      </c>
      <c r="B102">
        <f t="shared" ca="1" si="46"/>
        <v>3</v>
      </c>
      <c r="C102" t="str">
        <f t="shared" ca="1" si="47"/>
        <v>S</v>
      </c>
      <c r="D102">
        <f t="shared" ca="1" si="48"/>
        <v>0</v>
      </c>
      <c r="E102" t="e">
        <f ca="1">IF($C102=1,OFFSET(E102,-1,0)+MAX(1,COUNTIF([1]QCI!$A$13:$A$24,OFFSET('PLANILHA A LICITAR'!E102,-1,0))),OFFSET(E102,-1,0))</f>
        <v>#VALUE!</v>
      </c>
      <c r="F102">
        <f t="shared" ca="1" si="49"/>
        <v>2</v>
      </c>
      <c r="G102">
        <f t="shared" ca="1" si="50"/>
        <v>7</v>
      </c>
      <c r="H102">
        <f t="shared" ca="1" si="51"/>
        <v>0</v>
      </c>
      <c r="I102" t="e">
        <f t="shared" ca="1" si="52"/>
        <v>#VALUE!</v>
      </c>
      <c r="J102">
        <f t="shared" ca="1" si="59"/>
        <v>0</v>
      </c>
      <c r="K102">
        <f ca="1">IF(OR($C102="S",$C102=0),0,MATCH(OFFSET($D102,0,$C102)+IF($C102&lt;&gt;1,1,COUNTIF([1]QCI!$A$13:$A$24,'PLANILHA A LICITAR'!E102)),OFFSET($D102,1,$C102,ROW($C$145)-ROW($C102)),0))</f>
        <v>0</v>
      </c>
      <c r="L102" s="42" t="e">
        <f t="shared" ca="1" si="53"/>
        <v>#VALUE!</v>
      </c>
      <c r="M102" s="43" t="s">
        <v>7</v>
      </c>
      <c r="N102" s="44" t="str">
        <f t="shared" ca="1" si="54"/>
        <v>Serviço</v>
      </c>
      <c r="O102" s="45" t="e">
        <f t="shared" ca="1" si="55"/>
        <v>#VALUE!</v>
      </c>
      <c r="P102" s="46" t="s">
        <v>62</v>
      </c>
      <c r="Q102" s="47">
        <v>95472</v>
      </c>
      <c r="R102" s="48" t="s">
        <v>182</v>
      </c>
      <c r="S102" s="49" t="s">
        <v>85</v>
      </c>
      <c r="T102" s="50" t="e">
        <f ca="1">OFFSET([1]CÁLCULO!H$15,ROW($T102)-ROW(T$15),0)</f>
        <v>#VALUE!</v>
      </c>
      <c r="U102" s="51" t="e">
        <f t="shared" ref="U102:U113" ca="1" si="60">AG102</f>
        <v>#VALUE!</v>
      </c>
      <c r="V102" s="52" t="s">
        <v>10</v>
      </c>
      <c r="W102" s="50" t="e">
        <f ca="1">IF($C102="S",ROUND(IF(TIPOORCAMENTO="Proposto",ORÇAMENTO.CustoUnitario*(1+$AH102),ORÇAMENTO.PrecoUnitarioLicitado),15-13*$AF$10),0)</f>
        <v>#VALUE!</v>
      </c>
      <c r="X102" s="53" t="e">
        <f t="shared" ca="1" si="42"/>
        <v>#VALUE!</v>
      </c>
      <c r="Y102" s="54" t="s">
        <v>63</v>
      </c>
      <c r="Z102" t="e">
        <f t="shared" ca="1" si="56"/>
        <v>#VALUE!</v>
      </c>
      <c r="AA102" s="55" t="e">
        <f ca="1">IF($C102="S",IF($Z102="CP",$X102,IF($Z102="RA",(($X102)*[1]QCI!$AA$3),0)),SomaAgrup)</f>
        <v>#VALUE!</v>
      </c>
      <c r="AB102" s="56" t="e">
        <f t="shared" ca="1" si="43"/>
        <v>#VALUE!</v>
      </c>
      <c r="AC102" s="57" t="e">
        <f ca="1">IF($N102="","",IF(ORÇAMENTO.Descricao="","DESCRIÇÃO",IF(AND($C102="S",ORÇAMENTO.Unidade=""),"UNIDADE",IF($X102&lt;0,"VALOR NEGATIVO",IF(OR(AND(TIPOORCAMENTO="Proposto",$AG102&lt;&gt;"",$AG102&gt;0,ORÇAMENTO.CustoUnitario&gt;$AG102),AND(TIPOORCAMENTO="LICITADO",ORÇAMENTO.PrecoUnitarioLicitado&gt;$AN102)),"ACIMA REF.","")))))</f>
        <v>#VALUE!</v>
      </c>
      <c r="AD102" t="str">
        <f ca="1">IF(C102&lt;=CRONO.NivelExibicao,MAX($AD$15:OFFSET(AD102,-1,0))+IF($C102&lt;&gt;1,1,MAX(1,COUNTIF([1]QCI!$A$13:$A$24,OFFSET($E102,-1,0)))),"")</f>
        <v/>
      </c>
      <c r="AE102" s="4" t="str">
        <f ca="1">IF(AND($C102="S",ORÇAMENTO.CodBarra&lt;&gt;""),IF(ORÇAMENTO.Fonte="",ORÇAMENTO.CodBarra,CONCATENATE(ORÇAMENTO.Fonte," ",ORÇAMENTO.CodBarra)))</f>
        <v>SINAPI 95472</v>
      </c>
      <c r="AF102" s="58" t="e">
        <f ca="1">IF(ISERROR(INDIRECT(ORÇAMENTO.BancoRef)),"(abra o arquivo 'Referência "&amp;Excel_BuiltIn_Database&amp;".xls)",IF(OR($C102&lt;&gt;"S",ORÇAMENTO.CodBarra=""),"(Sem Código)",IF(ISERROR(MATCH($AE102,INDIRECT(ORÇAMENTO.BancoRef),0)),"(Código não identificado nas referências)",MATCH($AE102,INDIRECT(ORÇAMENTO.BancoRef),0))))</f>
        <v>#VALUE!</v>
      </c>
      <c r="AG102" s="59" t="e">
        <f ca="1">ROUND(IF(DESONERACAO="sim",REFERENCIA.Desonerado,REFERENCIA.NaoDesonerado),2)</f>
        <v>#VALUE!</v>
      </c>
      <c r="AH102" s="60">
        <f t="shared" si="44"/>
        <v>0.2223</v>
      </c>
      <c r="AJ102" s="61">
        <v>1</v>
      </c>
      <c r="AL102" s="62"/>
      <c r="AM102" s="63" t="e">
        <f t="shared" ca="1" si="0"/>
        <v>#VALUE!</v>
      </c>
      <c r="AN102" s="64" t="e">
        <f t="shared" ca="1" si="45"/>
        <v>#VALUE!</v>
      </c>
    </row>
    <row r="103" spans="1:40" ht="25.5" x14ac:dyDescent="0.2">
      <c r="A103" t="str">
        <f>CHOOSE(1+LOG(1+2*(ORÇAMENTO.Nivel="Meta")+4*(ORÇAMENTO.Nivel="Nível 2")+8*(ORÇAMENTO.Nivel="Nível 3")+16*(ORÇAMENTO.Nivel="Nível 4")+32*(ORÇAMENTO.Nivel="Serviço"),2),0,1,2,3,4,"S")</f>
        <v>S</v>
      </c>
      <c r="B103">
        <f ca="1">IF(OR(C103="s",C103=0),OFFSET(B103,-1,0),C103)</f>
        <v>3</v>
      </c>
      <c r="C103" t="str">
        <f ca="1">IF(OFFSET(C103,-1,0)="L",1,IF(OFFSET(C103,-1,0)=1,2,IF(OR(A103="s",A103=0),"S",IF(AND(OFFSET(C103,-1,0)=2,A103=4),3,IF(AND(OR(OFFSET(C103,-1,0)="s",OFFSET(C103,-1,0)=0),A103&lt;&gt;"s",A103&gt;OFFSET(B103,-1,0)),OFFSET(B103,-1,0),A103)))))</f>
        <v>S</v>
      </c>
      <c r="D103">
        <f ca="1">IF(OR(C103="S",C103=0),0,IF(ISERROR(K103),J103,SMALL(J103:K103,1)))</f>
        <v>0</v>
      </c>
      <c r="E103" t="e">
        <f ca="1">IF($C103=1,OFFSET(E103,-1,0)+MAX(1,COUNTIF([1]QCI!$A$13:$A$24,OFFSET('PLANILHA A LICITAR'!E103,-1,0))),OFFSET(E103,-1,0))</f>
        <v>#VALUE!</v>
      </c>
      <c r="F103">
        <f ca="1">IF($C103=1,0,IF($C103=2,OFFSET(F103,-1,0)+1,OFFSET(F103,-1,0)))</f>
        <v>2</v>
      </c>
      <c r="G103">
        <f ca="1">IF(AND($C103&lt;=2,$C103&lt;&gt;0),0,IF($C103=3,OFFSET(G103,-1,0)+1,OFFSET(G103,-1,0)))</f>
        <v>7</v>
      </c>
      <c r="H103">
        <f ca="1">IF(AND($C103&lt;=3,$C103&lt;&gt;0),0,IF($C103=4,OFFSET(H103,-1,0)+1,OFFSET(H103,-1,0)))</f>
        <v>0</v>
      </c>
      <c r="I103" t="e">
        <f ca="1">IF(AND($C103&lt;=4,$C103&lt;&gt;0),0,IF(AND($C103="S",$X103&gt;0),OFFSET(I103,-1,0)+1,OFFSET(I103,-1,0)))</f>
        <v>#VALUE!</v>
      </c>
      <c r="J103">
        <f t="shared" ca="1" si="59"/>
        <v>0</v>
      </c>
      <c r="K103">
        <f ca="1">IF(OR($C103="S",$C103=0),0,MATCH(OFFSET($D103,0,$C103)+IF($C103&lt;&gt;1,1,COUNTIF([1]QCI!$A$13:$A$24,'PLANILHA A LICITAR'!E103)),OFFSET($D103,1,$C103,ROW($C$145)-ROW($C103)),0))</f>
        <v>0</v>
      </c>
      <c r="L103" s="42" t="e">
        <f ca="1">IF(OR($X103&gt;0,$C103=1,$C103=2,$C103=3,$C103=4),"F","")</f>
        <v>#VALUE!</v>
      </c>
      <c r="M103" s="43" t="s">
        <v>7</v>
      </c>
      <c r="N103" s="44" t="str">
        <f ca="1">CHOOSE(1+LOG(1+2*(C103=1)+4*(C103=2)+8*(C103=3)+16*(C103=4)+32*(C103="S"),2),"","Meta","Nível 2","Nível 3","Nível 4","Serviço")</f>
        <v>Serviço</v>
      </c>
      <c r="O103" s="45" t="e">
        <f ca="1">IF(OR($C103=0,$L103=""),"-",CONCATENATE(E103&amp;".",IF(AND($A$5&gt;=2,$C103&gt;=2),F103&amp;".",""),IF(AND($A$5&gt;=3,$C103&gt;=3),G103&amp;".",""),IF(AND($A$5&gt;=4,$C103&gt;=4),H103&amp;".",""),IF($C103="S",I103&amp;".","")))</f>
        <v>#VALUE!</v>
      </c>
      <c r="P103" s="46" t="s">
        <v>70</v>
      </c>
      <c r="Q103" s="47">
        <v>10432</v>
      </c>
      <c r="R103" s="48" t="s">
        <v>183</v>
      </c>
      <c r="S103" s="49" t="s">
        <v>105</v>
      </c>
      <c r="T103" s="50" t="e">
        <f ca="1">OFFSET([1]CÁLCULO!H$15,ROW($T103)-ROW(T$15),0)</f>
        <v>#VALUE!</v>
      </c>
      <c r="U103" s="51" t="e">
        <f t="shared" ca="1" si="60"/>
        <v>#VALUE!</v>
      </c>
      <c r="V103" s="52" t="s">
        <v>10</v>
      </c>
      <c r="W103" s="50" t="e">
        <f ca="1">IF($C103="S",ROUND(IF(TIPOORCAMENTO="Proposto",ORÇAMENTO.CustoUnitario*(1+$AH103),ORÇAMENTO.PrecoUnitarioLicitado),15-13*$AF$10),0)</f>
        <v>#VALUE!</v>
      </c>
      <c r="X103" s="53" t="e">
        <f ca="1">IF($C103="S",VTOTAL1,IF($C103=0,0,ROUND(SomaAgrup,15-13*$AF$11)))</f>
        <v>#VALUE!</v>
      </c>
      <c r="Y103" s="54" t="s">
        <v>63</v>
      </c>
      <c r="Z103" t="e">
        <f ca="1">IF(AND($C103="S",$X103&gt;0),IF(ISBLANK($Y103),"RA",LEFT($Y103,2)),"")</f>
        <v>#VALUE!</v>
      </c>
      <c r="AA103" s="55" t="e">
        <f ca="1">IF($C103="S",IF($Z103="CP",$X103,IF($Z103="RA",(($X103)*[1]QCI!$AA$3),0)),SomaAgrup)</f>
        <v>#VALUE!</v>
      </c>
      <c r="AB103" s="56" t="e">
        <f ca="1">IF($C103="S",IF($Z103="OU",ROUND($X103,2),0),SomaAgrup)</f>
        <v>#VALUE!</v>
      </c>
      <c r="AC103" s="57" t="e">
        <f ca="1">IF($N103="","",IF(ORÇAMENTO.Descricao="","DESCRIÇÃO",IF(AND($C103="S",ORÇAMENTO.Unidade=""),"UNIDADE",IF($X103&lt;0,"VALOR NEGATIVO",IF(OR(AND(TIPOORCAMENTO="Proposto",$AG103&lt;&gt;"",$AG103&gt;0,ORÇAMENTO.CustoUnitario&gt;$AG103),AND(TIPOORCAMENTO="LICITADO",ORÇAMENTO.PrecoUnitarioLicitado&gt;$AN103)),"ACIMA REF.","")))))</f>
        <v>#VALUE!</v>
      </c>
      <c r="AD103" t="str">
        <f ca="1">IF(C103&lt;=CRONO.NivelExibicao,MAX($AD$15:OFFSET(AD103,-1,0))+IF($C103&lt;&gt;1,1,MAX(1,COUNTIF([1]QCI!$A$13:$A$24,OFFSET($E103,-1,0)))),"")</f>
        <v/>
      </c>
      <c r="AE103" s="4" t="str">
        <f ca="1">IF(AND($C103="S",ORÇAMENTO.CodBarra&lt;&gt;""),IF(ORÇAMENTO.Fonte="",ORÇAMENTO.CodBarra,CONCATENATE(ORÇAMENTO.Fonte," ",ORÇAMENTO.CodBarra)))</f>
        <v>SINAPI-I 10432</v>
      </c>
      <c r="AF103" s="58" t="e">
        <f ca="1">IF(ISERROR(INDIRECT(ORÇAMENTO.BancoRef)),"(abra o arquivo 'Referência "&amp;Excel_BuiltIn_Database&amp;".xls)",IF(OR($C103&lt;&gt;"S",ORÇAMENTO.CodBarra=""),"(Sem Código)",IF(ISERROR(MATCH($AE103,INDIRECT(ORÇAMENTO.BancoRef),0)),"(Código não identificado nas referências)",MATCH($AE103,INDIRECT(ORÇAMENTO.BancoRef),0))))</f>
        <v>#VALUE!</v>
      </c>
      <c r="AG103" s="59" t="e">
        <f ca="1">ROUND(IF(DESONERACAO="sim",REFERENCIA.Desonerado,REFERENCIA.NaoDesonerado),2)</f>
        <v>#VALUE!</v>
      </c>
      <c r="AH103" s="60">
        <f>ROUND(IF(ISNUMBER(ORÇAMENTO.OpcaoBDI),ORÇAMENTO.OpcaoBDI,IF(LEFT(ORÇAMENTO.OpcaoBDI,3)="BDI",HLOOKUP(ORÇAMENTO.OpcaoBDI,$F$4:$H$5,2,FALSE),0)),15-11*$AF$9)</f>
        <v>0.2223</v>
      </c>
      <c r="AJ103" s="61">
        <v>3</v>
      </c>
      <c r="AL103" s="62"/>
      <c r="AM103" s="63" t="e">
        <f t="shared" ca="1" si="0"/>
        <v>#VALUE!</v>
      </c>
      <c r="AN103" s="64" t="e">
        <f ca="1">ROUND(ORÇAMENTO.CustoUnitario*(1+$AH103),2)</f>
        <v>#VALUE!</v>
      </c>
    </row>
    <row r="104" spans="1:40" ht="25.5" x14ac:dyDescent="0.2">
      <c r="A104" t="str">
        <f t="shared" si="41"/>
        <v>S</v>
      </c>
      <c r="B104">
        <f t="shared" ca="1" si="46"/>
        <v>3</v>
      </c>
      <c r="C104" t="str">
        <f t="shared" ca="1" si="47"/>
        <v>S</v>
      </c>
      <c r="D104">
        <f t="shared" ca="1" si="48"/>
        <v>0</v>
      </c>
      <c r="E104" t="e">
        <f ca="1">IF($C104=1,OFFSET(E104,-1,0)+MAX(1,COUNTIF([1]QCI!$A$13:$A$24,OFFSET('PLANILHA A LICITAR'!E104,-1,0))),OFFSET(E104,-1,0))</f>
        <v>#VALUE!</v>
      </c>
      <c r="F104">
        <f t="shared" ca="1" si="49"/>
        <v>2</v>
      </c>
      <c r="G104">
        <f t="shared" ca="1" si="50"/>
        <v>7</v>
      </c>
      <c r="H104">
        <f t="shared" ca="1" si="51"/>
        <v>0</v>
      </c>
      <c r="I104" t="e">
        <f t="shared" ca="1" si="52"/>
        <v>#VALUE!</v>
      </c>
      <c r="J104">
        <f t="shared" ca="1" si="59"/>
        <v>0</v>
      </c>
      <c r="K104">
        <f ca="1">IF(OR($C104="S",$C104=0),0,MATCH(OFFSET($D104,0,$C104)+IF($C104&lt;&gt;1,1,COUNTIF([1]QCI!$A$13:$A$24,'PLANILHA A LICITAR'!E104)),OFFSET($D104,1,$C104,ROW($C$145)-ROW($C104)),0))</f>
        <v>0</v>
      </c>
      <c r="L104" s="42" t="e">
        <f t="shared" ca="1" si="53"/>
        <v>#VALUE!</v>
      </c>
      <c r="M104" s="43" t="s">
        <v>7</v>
      </c>
      <c r="N104" s="44" t="str">
        <f t="shared" ca="1" si="54"/>
        <v>Serviço</v>
      </c>
      <c r="O104" s="45" t="e">
        <f t="shared" ca="1" si="55"/>
        <v>#VALUE!</v>
      </c>
      <c r="P104" s="46" t="s">
        <v>62</v>
      </c>
      <c r="Q104" s="47">
        <v>86901</v>
      </c>
      <c r="R104" s="48" t="s">
        <v>184</v>
      </c>
      <c r="S104" s="49" t="s">
        <v>85</v>
      </c>
      <c r="T104" s="50" t="e">
        <f ca="1">OFFSET([1]CÁLCULO!H$15,ROW($T104)-ROW(T$15),0)</f>
        <v>#VALUE!</v>
      </c>
      <c r="U104" s="51" t="e">
        <f t="shared" ca="1" si="60"/>
        <v>#VALUE!</v>
      </c>
      <c r="V104" s="52" t="s">
        <v>10</v>
      </c>
      <c r="W104" s="50" t="e">
        <f ca="1">IF($C104="S",ROUND(IF(TIPOORCAMENTO="Proposto",ORÇAMENTO.CustoUnitario*(1+$AH104),ORÇAMENTO.PrecoUnitarioLicitado),15-13*$AF$10),0)</f>
        <v>#VALUE!</v>
      </c>
      <c r="X104" s="53" t="e">
        <f t="shared" ca="1" si="42"/>
        <v>#VALUE!</v>
      </c>
      <c r="Y104" s="54" t="s">
        <v>63</v>
      </c>
      <c r="Z104" t="e">
        <f t="shared" ca="1" si="56"/>
        <v>#VALUE!</v>
      </c>
      <c r="AA104" s="55" t="e">
        <f ca="1">IF($C104="S",IF($Z104="CP",$X104,IF($Z104="RA",(($X104)*[1]QCI!$AA$3),0)),SomaAgrup)</f>
        <v>#VALUE!</v>
      </c>
      <c r="AB104" s="56" t="e">
        <f t="shared" ca="1" si="43"/>
        <v>#VALUE!</v>
      </c>
      <c r="AC104" s="57" t="e">
        <f ca="1">IF($N104="","",IF(ORÇAMENTO.Descricao="","DESCRIÇÃO",IF(AND($C104="S",ORÇAMENTO.Unidade=""),"UNIDADE",IF($X104&lt;0,"VALOR NEGATIVO",IF(OR(AND(TIPOORCAMENTO="Proposto",$AG104&lt;&gt;"",$AG104&gt;0,ORÇAMENTO.CustoUnitario&gt;$AG104),AND(TIPOORCAMENTO="LICITADO",ORÇAMENTO.PrecoUnitarioLicitado&gt;$AN104)),"ACIMA REF.","")))))</f>
        <v>#VALUE!</v>
      </c>
      <c r="AD104" t="str">
        <f ca="1">IF(C104&lt;=CRONO.NivelExibicao,MAX($AD$15:OFFSET(AD104,-1,0))+IF($C104&lt;&gt;1,1,MAX(1,COUNTIF([1]QCI!$A$13:$A$24,OFFSET($E104,-1,0)))),"")</f>
        <v/>
      </c>
      <c r="AE104" s="4" t="str">
        <f ca="1">IF(AND($C104="S",ORÇAMENTO.CodBarra&lt;&gt;""),IF(ORÇAMENTO.Fonte="",ORÇAMENTO.CodBarra,CONCATENATE(ORÇAMENTO.Fonte," ",ORÇAMENTO.CodBarra)))</f>
        <v>SINAPI 86901</v>
      </c>
      <c r="AF104" s="58" t="e">
        <f ca="1">IF(ISERROR(INDIRECT(ORÇAMENTO.BancoRef)),"(abra o arquivo 'Referência "&amp;Excel_BuiltIn_Database&amp;".xls)",IF(OR($C104&lt;&gt;"S",ORÇAMENTO.CodBarra=""),"(Sem Código)",IF(ISERROR(MATCH($AE104,INDIRECT(ORÇAMENTO.BancoRef),0)),"(Código não identificado nas referências)",MATCH($AE104,INDIRECT(ORÇAMENTO.BancoRef),0))))</f>
        <v>#VALUE!</v>
      </c>
      <c r="AG104" s="59" t="e">
        <f ca="1">ROUND(IF(DESONERACAO="sim",REFERENCIA.Desonerado,REFERENCIA.NaoDesonerado),2)</f>
        <v>#VALUE!</v>
      </c>
      <c r="AH104" s="60">
        <f t="shared" si="44"/>
        <v>0.2223</v>
      </c>
      <c r="AJ104" s="61">
        <v>7</v>
      </c>
      <c r="AL104" s="62"/>
      <c r="AM104" s="63" t="e">
        <f t="shared" ca="1" si="0"/>
        <v>#VALUE!</v>
      </c>
      <c r="AN104" s="64" t="e">
        <f t="shared" ca="1" si="45"/>
        <v>#VALUE!</v>
      </c>
    </row>
    <row r="105" spans="1:40" x14ac:dyDescent="0.2">
      <c r="A105" t="str">
        <f t="shared" si="41"/>
        <v>S</v>
      </c>
      <c r="B105">
        <f t="shared" ca="1" si="46"/>
        <v>3</v>
      </c>
      <c r="C105" t="str">
        <f t="shared" ca="1" si="47"/>
        <v>S</v>
      </c>
      <c r="D105">
        <f t="shared" ca="1" si="48"/>
        <v>0</v>
      </c>
      <c r="E105" t="e">
        <f ca="1">IF($C105=1,OFFSET(E105,-1,0)+MAX(1,COUNTIF([1]QCI!$A$13:$A$24,OFFSET('PLANILHA A LICITAR'!E105,-1,0))),OFFSET(E105,-1,0))</f>
        <v>#VALUE!</v>
      </c>
      <c r="F105">
        <f t="shared" ca="1" si="49"/>
        <v>2</v>
      </c>
      <c r="G105">
        <f t="shared" ca="1" si="50"/>
        <v>7</v>
      </c>
      <c r="H105">
        <f t="shared" ca="1" si="51"/>
        <v>0</v>
      </c>
      <c r="I105" t="e">
        <f t="shared" ca="1" si="52"/>
        <v>#VALUE!</v>
      </c>
      <c r="J105">
        <f t="shared" ca="1" si="59"/>
        <v>0</v>
      </c>
      <c r="K105">
        <f ca="1">IF(OR($C105="S",$C105=0),0,MATCH(OFFSET($D105,0,$C105)+IF($C105&lt;&gt;1,1,COUNTIF([1]QCI!$A$13:$A$24,'PLANILHA A LICITAR'!E105)),OFFSET($D105,1,$C105,ROW($C$145)-ROW($C105)),0))</f>
        <v>0</v>
      </c>
      <c r="L105" s="42" t="e">
        <f t="shared" ca="1" si="53"/>
        <v>#VALUE!</v>
      </c>
      <c r="M105" s="43" t="s">
        <v>7</v>
      </c>
      <c r="N105" s="44" t="str">
        <f t="shared" ca="1" si="54"/>
        <v>Serviço</v>
      </c>
      <c r="O105" s="45" t="e">
        <f t="shared" ca="1" si="55"/>
        <v>#VALUE!</v>
      </c>
      <c r="P105" s="46" t="s">
        <v>62</v>
      </c>
      <c r="Q105" s="47" t="s">
        <v>185</v>
      </c>
      <c r="R105" s="48" t="s">
        <v>186</v>
      </c>
      <c r="S105" s="49" t="s">
        <v>75</v>
      </c>
      <c r="T105" s="50" t="e">
        <f ca="1">OFFSET([1]CÁLCULO!H$15,ROW($T105)-ROW(T$15),0)</f>
        <v>#VALUE!</v>
      </c>
      <c r="U105" s="51">
        <v>657.76</v>
      </c>
      <c r="V105" s="52" t="s">
        <v>10</v>
      </c>
      <c r="W105" s="50">
        <f ca="1">IF($C105="S",ROUND(IF(TIPOORCAMENTO="Proposto",ORÇAMENTO.CustoUnitario*(1+$AH105),ORÇAMENTO.PrecoUnitarioLicitado),15-13*$AF$10),0)</f>
        <v>803.98004800000001</v>
      </c>
      <c r="X105" s="53" t="e">
        <f t="shared" ca="1" si="42"/>
        <v>#VALUE!</v>
      </c>
      <c r="Y105" s="54" t="s">
        <v>63</v>
      </c>
      <c r="Z105" t="e">
        <f t="shared" ca="1" si="56"/>
        <v>#VALUE!</v>
      </c>
      <c r="AA105" s="55" t="e">
        <f ca="1">IF($C105="S",IF($Z105="CP",$X105,IF($Z105="RA",(($X105)*[1]QCI!$AA$3),0)),SomaAgrup)</f>
        <v>#VALUE!</v>
      </c>
      <c r="AB105" s="56" t="e">
        <f t="shared" ca="1" si="43"/>
        <v>#VALUE!</v>
      </c>
      <c r="AC105" s="57" t="e">
        <f ca="1">IF($N105="","",IF(ORÇAMENTO.Descricao="","DESCRIÇÃO",IF(AND($C105="S",ORÇAMENTO.Unidade=""),"UNIDADE",IF($X105&lt;0,"VALOR NEGATIVO",IF(OR(AND(TIPOORCAMENTO="Proposto",$AG105&lt;&gt;"",$AG105&gt;0,ORÇAMENTO.CustoUnitario&gt;$AG105),AND(TIPOORCAMENTO="LICITADO",ORÇAMENTO.PrecoUnitarioLicitado&gt;$AN105)),"ACIMA REF.","")))))</f>
        <v>#VALUE!</v>
      </c>
      <c r="AD105" t="str">
        <f ca="1">IF(C105&lt;=CRONO.NivelExibicao,MAX($AD$15:OFFSET(AD105,-1,0))+IF($C105&lt;&gt;1,1,MAX(1,COUNTIF([1]QCI!$A$13:$A$24,OFFSET($E105,-1,0)))),"")</f>
        <v/>
      </c>
      <c r="AE105" s="4" t="str">
        <f ca="1">IF(AND($C105="S",ORÇAMENTO.CodBarra&lt;&gt;""),IF(ORÇAMENTO.Fonte="",ORÇAMENTO.CodBarra,CONCATENATE(ORÇAMENTO.Fonte," ",ORÇAMENTO.CodBarra)))</f>
        <v>SINAPI AUX1456</v>
      </c>
      <c r="AF105" s="58" t="e">
        <f ca="1">IF(ISERROR(INDIRECT(ORÇAMENTO.BancoRef)),"(abra o arquivo 'Referência "&amp;Excel_BuiltIn_Database&amp;".xls)",IF(OR($C105&lt;&gt;"S",ORÇAMENTO.CodBarra=""),"(Sem Código)",IF(ISERROR(MATCH($AE105,INDIRECT(ORÇAMENTO.BancoRef),0)),"(Código não identificado nas referências)",MATCH($AE105,INDIRECT(ORÇAMENTO.BancoRef),0))))</f>
        <v>#VALUE!</v>
      </c>
      <c r="AG105" s="59" t="e">
        <f ca="1">ROUND(IF(DESONERACAO="sim",REFERENCIA.Desonerado,REFERENCIA.NaoDesonerado),2)</f>
        <v>#VALUE!</v>
      </c>
      <c r="AH105" s="60">
        <f t="shared" si="44"/>
        <v>0.2223</v>
      </c>
      <c r="AJ105" s="61">
        <v>3.3</v>
      </c>
      <c r="AL105" s="62"/>
      <c r="AM105" s="63" t="e">
        <f t="shared" ca="1" si="0"/>
        <v>#VALUE!</v>
      </c>
      <c r="AN105" s="64">
        <f t="shared" si="45"/>
        <v>803.98</v>
      </c>
    </row>
    <row r="106" spans="1:40" ht="25.5" x14ac:dyDescent="0.2">
      <c r="A106" t="str">
        <f t="shared" si="41"/>
        <v>S</v>
      </c>
      <c r="B106">
        <f t="shared" ca="1" si="46"/>
        <v>3</v>
      </c>
      <c r="C106" t="str">
        <f t="shared" ca="1" si="47"/>
        <v>S</v>
      </c>
      <c r="D106">
        <f t="shared" ca="1" si="48"/>
        <v>0</v>
      </c>
      <c r="E106" t="e">
        <f ca="1">IF($C106=1,OFFSET(E106,-1,0)+MAX(1,COUNTIF([1]QCI!$A$13:$A$24,OFFSET('PLANILHA A LICITAR'!E106,-1,0))),OFFSET(E106,-1,0))</f>
        <v>#VALUE!</v>
      </c>
      <c r="F106">
        <f t="shared" ca="1" si="49"/>
        <v>2</v>
      </c>
      <c r="G106">
        <f t="shared" ca="1" si="50"/>
        <v>7</v>
      </c>
      <c r="H106">
        <f t="shared" ca="1" si="51"/>
        <v>0</v>
      </c>
      <c r="I106" t="e">
        <f t="shared" ca="1" si="52"/>
        <v>#VALUE!</v>
      </c>
      <c r="J106">
        <f t="shared" ca="1" si="59"/>
        <v>0</v>
      </c>
      <c r="K106">
        <f ca="1">IF(OR($C106="S",$C106=0),0,MATCH(OFFSET($D106,0,$C106)+IF($C106&lt;&gt;1,1,COUNTIF([1]QCI!$A$13:$A$24,'PLANILHA A LICITAR'!E106)),OFFSET($D106,1,$C106,ROW($C$145)-ROW($C106)),0))</f>
        <v>0</v>
      </c>
      <c r="L106" s="42" t="e">
        <f t="shared" ca="1" si="53"/>
        <v>#VALUE!</v>
      </c>
      <c r="M106" s="43" t="s">
        <v>7</v>
      </c>
      <c r="N106" s="44" t="str">
        <f t="shared" ca="1" si="54"/>
        <v>Serviço</v>
      </c>
      <c r="O106" s="45" t="e">
        <f t="shared" ca="1" si="55"/>
        <v>#VALUE!</v>
      </c>
      <c r="P106" s="46" t="s">
        <v>62</v>
      </c>
      <c r="Q106" s="47">
        <v>86906</v>
      </c>
      <c r="R106" s="48" t="s">
        <v>187</v>
      </c>
      <c r="S106" s="49" t="s">
        <v>85</v>
      </c>
      <c r="T106" s="50" t="e">
        <f ca="1">OFFSET([1]CÁLCULO!H$15,ROW($T106)-ROW(T$15),0)</f>
        <v>#VALUE!</v>
      </c>
      <c r="U106" s="51" t="e">
        <f t="shared" ca="1" si="60"/>
        <v>#VALUE!</v>
      </c>
      <c r="V106" s="52" t="s">
        <v>10</v>
      </c>
      <c r="W106" s="50" t="e">
        <f ca="1">IF($C106="S",ROUND(IF(TIPOORCAMENTO="Proposto",ORÇAMENTO.CustoUnitario*(1+$AH106),ORÇAMENTO.PrecoUnitarioLicitado),15-13*$AF$10),0)</f>
        <v>#VALUE!</v>
      </c>
      <c r="X106" s="53" t="e">
        <f t="shared" ca="1" si="42"/>
        <v>#VALUE!</v>
      </c>
      <c r="Y106" s="54" t="s">
        <v>63</v>
      </c>
      <c r="Z106" t="e">
        <f t="shared" ca="1" si="56"/>
        <v>#VALUE!</v>
      </c>
      <c r="AA106" s="55" t="e">
        <f ca="1">IF($C106="S",IF($Z106="CP",$X106,IF($Z106="RA",(($X106)*[1]QCI!$AA$3),0)),SomaAgrup)</f>
        <v>#VALUE!</v>
      </c>
      <c r="AB106" s="56" t="e">
        <f t="shared" ca="1" si="43"/>
        <v>#VALUE!</v>
      </c>
      <c r="AC106" s="57" t="e">
        <f ca="1">IF($N106="","",IF(ORÇAMENTO.Descricao="","DESCRIÇÃO",IF(AND($C106="S",ORÇAMENTO.Unidade=""),"UNIDADE",IF($X106&lt;0,"VALOR NEGATIVO",IF(OR(AND(TIPOORCAMENTO="Proposto",$AG106&lt;&gt;"",$AG106&gt;0,ORÇAMENTO.CustoUnitario&gt;$AG106),AND(TIPOORCAMENTO="LICITADO",ORÇAMENTO.PrecoUnitarioLicitado&gt;$AN106)),"ACIMA REF.","")))))</f>
        <v>#VALUE!</v>
      </c>
      <c r="AD106" t="str">
        <f ca="1">IF(C106&lt;=CRONO.NivelExibicao,MAX($AD$15:OFFSET(AD106,-1,0))+IF($C106&lt;&gt;1,1,MAX(1,COUNTIF([1]QCI!$A$13:$A$24,OFFSET($E106,-1,0)))),"")</f>
        <v/>
      </c>
      <c r="AE106" s="4" t="str">
        <f ca="1">IF(AND($C106="S",ORÇAMENTO.CodBarra&lt;&gt;""),IF(ORÇAMENTO.Fonte="",ORÇAMENTO.CodBarra,CONCATENATE(ORÇAMENTO.Fonte," ",ORÇAMENTO.CodBarra)))</f>
        <v>SINAPI 86906</v>
      </c>
      <c r="AF106" s="58" t="e">
        <f ca="1">IF(ISERROR(INDIRECT(ORÇAMENTO.BancoRef)),"(abra o arquivo 'Referência "&amp;Excel_BuiltIn_Database&amp;".xls)",IF(OR($C106&lt;&gt;"S",ORÇAMENTO.CodBarra=""),"(Sem Código)",IF(ISERROR(MATCH($AE106,INDIRECT(ORÇAMENTO.BancoRef),0)),"(Código não identificado nas referências)",MATCH($AE106,INDIRECT(ORÇAMENTO.BancoRef),0))))</f>
        <v>#VALUE!</v>
      </c>
      <c r="AG106" s="59" t="e">
        <f ca="1">ROUND(IF(DESONERACAO="sim",REFERENCIA.Desonerado,REFERENCIA.NaoDesonerado),2)</f>
        <v>#VALUE!</v>
      </c>
      <c r="AH106" s="60">
        <f t="shared" si="44"/>
        <v>0.2223</v>
      </c>
      <c r="AJ106" s="61">
        <v>8</v>
      </c>
      <c r="AL106" s="62"/>
      <c r="AM106" s="63" t="e">
        <f t="shared" ca="1" si="0"/>
        <v>#VALUE!</v>
      </c>
      <c r="AN106" s="64" t="e">
        <f t="shared" ca="1" si="45"/>
        <v>#VALUE!</v>
      </c>
    </row>
    <row r="107" spans="1:40" ht="38.25" x14ac:dyDescent="0.2">
      <c r="A107" t="str">
        <f t="shared" si="41"/>
        <v>S</v>
      </c>
      <c r="B107">
        <f t="shared" ca="1" si="46"/>
        <v>3</v>
      </c>
      <c r="C107" t="str">
        <f t="shared" ca="1" si="47"/>
        <v>S</v>
      </c>
      <c r="D107">
        <f t="shared" ca="1" si="48"/>
        <v>0</v>
      </c>
      <c r="E107" t="e">
        <f ca="1">IF($C107=1,OFFSET(E107,-1,0)+MAX(1,COUNTIF([1]QCI!$A$13:$A$24,OFFSET('PLANILHA A LICITAR'!E107,-1,0))),OFFSET(E107,-1,0))</f>
        <v>#VALUE!</v>
      </c>
      <c r="F107">
        <f t="shared" ca="1" si="49"/>
        <v>2</v>
      </c>
      <c r="G107">
        <f t="shared" ca="1" si="50"/>
        <v>7</v>
      </c>
      <c r="H107">
        <f t="shared" ca="1" si="51"/>
        <v>0</v>
      </c>
      <c r="I107" t="e">
        <f t="shared" ca="1" si="52"/>
        <v>#VALUE!</v>
      </c>
      <c r="J107">
        <f t="shared" ca="1" si="59"/>
        <v>0</v>
      </c>
      <c r="K107">
        <f ca="1">IF(OR($C107="S",$C107=0),0,MATCH(OFFSET($D107,0,$C107)+IF($C107&lt;&gt;1,1,COUNTIF([1]QCI!$A$13:$A$24,'PLANILHA A LICITAR'!E107)),OFFSET($D107,1,$C107,ROW($C$145)-ROW($C107)),0))</f>
        <v>0</v>
      </c>
      <c r="L107" s="42" t="e">
        <f t="shared" ca="1" si="53"/>
        <v>#VALUE!</v>
      </c>
      <c r="M107" s="43" t="s">
        <v>7</v>
      </c>
      <c r="N107" s="44" t="str">
        <f t="shared" ca="1" si="54"/>
        <v>Serviço</v>
      </c>
      <c r="O107" s="45" t="e">
        <f t="shared" ca="1" si="55"/>
        <v>#VALUE!</v>
      </c>
      <c r="P107" s="46" t="s">
        <v>62</v>
      </c>
      <c r="Q107" s="47">
        <v>86904</v>
      </c>
      <c r="R107" s="48" t="s">
        <v>188</v>
      </c>
      <c r="S107" s="49" t="s">
        <v>85</v>
      </c>
      <c r="T107" s="50" t="e">
        <f ca="1">OFFSET([1]CÁLCULO!H$15,ROW($T107)-ROW(T$15),0)</f>
        <v>#VALUE!</v>
      </c>
      <c r="U107" s="51" t="e">
        <f t="shared" ca="1" si="60"/>
        <v>#VALUE!</v>
      </c>
      <c r="V107" s="52" t="s">
        <v>10</v>
      </c>
      <c r="W107" s="50" t="e">
        <f ca="1">IF($C107="S",ROUND(IF(TIPOORCAMENTO="Proposto",ORÇAMENTO.CustoUnitario*(1+$AH107),ORÇAMENTO.PrecoUnitarioLicitado),15-13*$AF$10),0)</f>
        <v>#VALUE!</v>
      </c>
      <c r="X107" s="53" t="e">
        <f t="shared" ca="1" si="42"/>
        <v>#VALUE!</v>
      </c>
      <c r="Y107" s="54" t="s">
        <v>63</v>
      </c>
      <c r="Z107" t="e">
        <f t="shared" ca="1" si="56"/>
        <v>#VALUE!</v>
      </c>
      <c r="AA107" s="55" t="e">
        <f ca="1">IF($C107="S",IF($Z107="CP",$X107,IF($Z107="RA",(($X107)*[1]QCI!$AA$3),0)),SomaAgrup)</f>
        <v>#VALUE!</v>
      </c>
      <c r="AB107" s="56" t="e">
        <f t="shared" ca="1" si="43"/>
        <v>#VALUE!</v>
      </c>
      <c r="AC107" s="57" t="e">
        <f ca="1">IF($N107="","",IF(ORÇAMENTO.Descricao="","DESCRIÇÃO",IF(AND($C107="S",ORÇAMENTO.Unidade=""),"UNIDADE",IF($X107&lt;0,"VALOR NEGATIVO",IF(OR(AND(TIPOORCAMENTO="Proposto",$AG107&lt;&gt;"",$AG107&gt;0,ORÇAMENTO.CustoUnitario&gt;$AG107),AND(TIPOORCAMENTO="LICITADO",ORÇAMENTO.PrecoUnitarioLicitado&gt;$AN107)),"ACIMA REF.","")))))</f>
        <v>#VALUE!</v>
      </c>
      <c r="AD107" t="str">
        <f ca="1">IF(C107&lt;=CRONO.NivelExibicao,MAX($AD$15:OFFSET(AD107,-1,0))+IF($C107&lt;&gt;1,1,MAX(1,COUNTIF([1]QCI!$A$13:$A$24,OFFSET($E107,-1,0)))),"")</f>
        <v/>
      </c>
      <c r="AE107" s="4" t="str">
        <f ca="1">IF(AND($C107="S",ORÇAMENTO.CodBarra&lt;&gt;""),IF(ORÇAMENTO.Fonte="",ORÇAMENTO.CodBarra,CONCATENATE(ORÇAMENTO.Fonte," ",ORÇAMENTO.CodBarra)))</f>
        <v>SINAPI 86904</v>
      </c>
      <c r="AF107" s="58" t="e">
        <f ca="1">IF(ISERROR(INDIRECT(ORÇAMENTO.BancoRef)),"(abra o arquivo 'Referência "&amp;Excel_BuiltIn_Database&amp;".xls)",IF(OR($C107&lt;&gt;"S",ORÇAMENTO.CodBarra=""),"(Sem Código)",IF(ISERROR(MATCH($AE107,INDIRECT(ORÇAMENTO.BancoRef),0)),"(Código não identificado nas referências)",MATCH($AE107,INDIRECT(ORÇAMENTO.BancoRef),0))))</f>
        <v>#VALUE!</v>
      </c>
      <c r="AG107" s="59" t="e">
        <f ca="1">ROUND(IF(DESONERACAO="sim",REFERENCIA.Desonerado,REFERENCIA.NaoDesonerado),2)</f>
        <v>#VALUE!</v>
      </c>
      <c r="AH107" s="60">
        <f t="shared" si="44"/>
        <v>0.2223</v>
      </c>
      <c r="AJ107" s="61">
        <v>1</v>
      </c>
      <c r="AL107" s="62"/>
      <c r="AM107" s="63" t="e">
        <f t="shared" ca="1" si="0"/>
        <v>#VALUE!</v>
      </c>
      <c r="AN107" s="64" t="e">
        <f t="shared" ca="1" si="45"/>
        <v>#VALUE!</v>
      </c>
    </row>
    <row r="108" spans="1:40" ht="38.25" x14ac:dyDescent="0.2">
      <c r="A108" t="str">
        <f t="shared" si="41"/>
        <v>S</v>
      </c>
      <c r="B108">
        <f t="shared" ca="1" si="46"/>
        <v>3</v>
      </c>
      <c r="C108" t="str">
        <f t="shared" ca="1" si="47"/>
        <v>S</v>
      </c>
      <c r="D108">
        <f t="shared" ca="1" si="48"/>
        <v>0</v>
      </c>
      <c r="E108" t="e">
        <f ca="1">IF($C108=1,OFFSET(E108,-1,0)+MAX(1,COUNTIF([1]QCI!$A$13:$A$24,OFFSET('PLANILHA A LICITAR'!E108,-1,0))),OFFSET(E108,-1,0))</f>
        <v>#VALUE!</v>
      </c>
      <c r="F108">
        <f t="shared" ca="1" si="49"/>
        <v>2</v>
      </c>
      <c r="G108">
        <f t="shared" ca="1" si="50"/>
        <v>7</v>
      </c>
      <c r="H108">
        <f t="shared" ca="1" si="51"/>
        <v>0</v>
      </c>
      <c r="I108" t="e">
        <f t="shared" ca="1" si="52"/>
        <v>#VALUE!</v>
      </c>
      <c r="J108">
        <f t="shared" ca="1" si="59"/>
        <v>0</v>
      </c>
      <c r="K108">
        <f ca="1">IF(OR($C108="S",$C108=0),0,MATCH(OFFSET($D108,0,$C108)+IF($C108&lt;&gt;1,1,COUNTIF([1]QCI!$A$13:$A$24,'PLANILHA A LICITAR'!E108)),OFFSET($D108,1,$C108,ROW($C$145)-ROW($C108)),0))</f>
        <v>0</v>
      </c>
      <c r="L108" s="42" t="e">
        <f t="shared" ca="1" si="53"/>
        <v>#VALUE!</v>
      </c>
      <c r="M108" s="43" t="s">
        <v>7</v>
      </c>
      <c r="N108" s="44" t="str">
        <f t="shared" ca="1" si="54"/>
        <v>Serviço</v>
      </c>
      <c r="O108" s="45" t="e">
        <f t="shared" ca="1" si="55"/>
        <v>#VALUE!</v>
      </c>
      <c r="P108" s="46" t="s">
        <v>62</v>
      </c>
      <c r="Q108" s="47">
        <v>100865</v>
      </c>
      <c r="R108" s="48" t="s">
        <v>189</v>
      </c>
      <c r="S108" s="49" t="s">
        <v>85</v>
      </c>
      <c r="T108" s="50" t="e">
        <f ca="1">OFFSET([1]CÁLCULO!H$15,ROW($T108)-ROW(T$15),0)</f>
        <v>#VALUE!</v>
      </c>
      <c r="U108" s="51" t="e">
        <f t="shared" ca="1" si="60"/>
        <v>#VALUE!</v>
      </c>
      <c r="V108" s="52" t="s">
        <v>10</v>
      </c>
      <c r="W108" s="50" t="e">
        <f ca="1">IF($C108="S",ROUND(IF(TIPOORCAMENTO="Proposto",ORÇAMENTO.CustoUnitario*(1+$AH108),ORÇAMENTO.PrecoUnitarioLicitado),15-13*$AF$10),0)</f>
        <v>#VALUE!</v>
      </c>
      <c r="X108" s="53" t="e">
        <f t="shared" ca="1" si="42"/>
        <v>#VALUE!</v>
      </c>
      <c r="Y108" s="54" t="s">
        <v>63</v>
      </c>
      <c r="Z108" t="e">
        <f t="shared" ca="1" si="56"/>
        <v>#VALUE!</v>
      </c>
      <c r="AA108" s="55" t="e">
        <f ca="1">IF($C108="S",IF($Z108="CP",$X108,IF($Z108="RA",(($X108)*[1]QCI!$AA$3),0)),SomaAgrup)</f>
        <v>#VALUE!</v>
      </c>
      <c r="AB108" s="56" t="e">
        <f t="shared" ca="1" si="43"/>
        <v>#VALUE!</v>
      </c>
      <c r="AC108" s="57" t="e">
        <f ca="1">IF($N108="","",IF(ORÇAMENTO.Descricao="","DESCRIÇÃO",IF(AND($C108="S",ORÇAMENTO.Unidade=""),"UNIDADE",IF($X108&lt;0,"VALOR NEGATIVO",IF(OR(AND(TIPOORCAMENTO="Proposto",$AG108&lt;&gt;"",$AG108&gt;0,ORÇAMENTO.CustoUnitario&gt;$AG108),AND(TIPOORCAMENTO="LICITADO",ORÇAMENTO.PrecoUnitarioLicitado&gt;$AN108)),"ACIMA REF.","")))))</f>
        <v>#VALUE!</v>
      </c>
      <c r="AD108" t="str">
        <f ca="1">IF(C108&lt;=CRONO.NivelExibicao,MAX($AD$15:OFFSET(AD108,-1,0))+IF($C108&lt;&gt;1,1,MAX(1,COUNTIF([1]QCI!$A$13:$A$24,OFFSET($E108,-1,0)))),"")</f>
        <v/>
      </c>
      <c r="AE108" s="4" t="str">
        <f ca="1">IF(AND($C108="S",ORÇAMENTO.CodBarra&lt;&gt;""),IF(ORÇAMENTO.Fonte="",ORÇAMENTO.CodBarra,CONCATENATE(ORÇAMENTO.Fonte," ",ORÇAMENTO.CodBarra)))</f>
        <v>SINAPI 100865</v>
      </c>
      <c r="AF108" s="58" t="e">
        <f ca="1">IF(ISERROR(INDIRECT(ORÇAMENTO.BancoRef)),"(abra o arquivo 'Referência "&amp;Excel_BuiltIn_Database&amp;".xls)",IF(OR($C108&lt;&gt;"S",ORÇAMENTO.CodBarra=""),"(Sem Código)",IF(ISERROR(MATCH($AE108,INDIRECT(ORÇAMENTO.BancoRef),0)),"(Código não identificado nas referências)",MATCH($AE108,INDIRECT(ORÇAMENTO.BancoRef),0))))</f>
        <v>#VALUE!</v>
      </c>
      <c r="AG108" s="59" t="e">
        <f ca="1">ROUND(IF(DESONERACAO="sim",REFERENCIA.Desonerado,REFERENCIA.NaoDesonerado),2)</f>
        <v>#VALUE!</v>
      </c>
      <c r="AH108" s="60">
        <f t="shared" si="44"/>
        <v>0.2223</v>
      </c>
      <c r="AJ108" s="61">
        <v>1</v>
      </c>
      <c r="AL108" s="62"/>
      <c r="AM108" s="63" t="e">
        <f t="shared" ca="1" si="0"/>
        <v>#VALUE!</v>
      </c>
      <c r="AN108" s="64" t="e">
        <f t="shared" ca="1" si="45"/>
        <v>#VALUE!</v>
      </c>
    </row>
    <row r="109" spans="1:40" ht="38.25" x14ac:dyDescent="0.2">
      <c r="A109" t="str">
        <f t="shared" si="41"/>
        <v>S</v>
      </c>
      <c r="B109">
        <f t="shared" ca="1" si="46"/>
        <v>3</v>
      </c>
      <c r="C109" t="str">
        <f t="shared" ca="1" si="47"/>
        <v>S</v>
      </c>
      <c r="D109">
        <f t="shared" ca="1" si="48"/>
        <v>0</v>
      </c>
      <c r="E109" t="e">
        <f ca="1">IF($C109=1,OFFSET(E109,-1,0)+MAX(1,COUNTIF([1]QCI!$A$13:$A$24,OFFSET('PLANILHA A LICITAR'!E109,-1,0))),OFFSET(E109,-1,0))</f>
        <v>#VALUE!</v>
      </c>
      <c r="F109">
        <f t="shared" ca="1" si="49"/>
        <v>2</v>
      </c>
      <c r="G109">
        <f t="shared" ca="1" si="50"/>
        <v>7</v>
      </c>
      <c r="H109">
        <f t="shared" ca="1" si="51"/>
        <v>0</v>
      </c>
      <c r="I109" t="e">
        <f t="shared" ca="1" si="52"/>
        <v>#VALUE!</v>
      </c>
      <c r="J109">
        <f t="shared" ca="1" si="59"/>
        <v>0</v>
      </c>
      <c r="K109">
        <f ca="1">IF(OR($C109="S",$C109=0),0,MATCH(OFFSET($D109,0,$C109)+IF($C109&lt;&gt;1,1,COUNTIF([1]QCI!$A$13:$A$24,'PLANILHA A LICITAR'!E109)),OFFSET($D109,1,$C109,ROW($C$145)-ROW($C109)),0))</f>
        <v>0</v>
      </c>
      <c r="L109" s="42" t="e">
        <f t="shared" ca="1" si="53"/>
        <v>#VALUE!</v>
      </c>
      <c r="M109" s="43" t="s">
        <v>7</v>
      </c>
      <c r="N109" s="44" t="str">
        <f t="shared" ca="1" si="54"/>
        <v>Serviço</v>
      </c>
      <c r="O109" s="45" t="e">
        <f t="shared" ca="1" si="55"/>
        <v>#VALUE!</v>
      </c>
      <c r="P109" s="46" t="s">
        <v>62</v>
      </c>
      <c r="Q109" s="47">
        <v>100867</v>
      </c>
      <c r="R109" s="48" t="s">
        <v>190</v>
      </c>
      <c r="S109" s="49" t="s">
        <v>85</v>
      </c>
      <c r="T109" s="50" t="e">
        <f ca="1">OFFSET([1]CÁLCULO!H$15,ROW($T109)-ROW(T$15),0)</f>
        <v>#VALUE!</v>
      </c>
      <c r="U109" s="51" t="e">
        <f t="shared" ca="1" si="60"/>
        <v>#VALUE!</v>
      </c>
      <c r="V109" s="52" t="s">
        <v>10</v>
      </c>
      <c r="W109" s="50" t="e">
        <f ca="1">IF($C109="S",ROUND(IF(TIPOORCAMENTO="Proposto",ORÇAMENTO.CustoUnitario*(1+$AH109),ORÇAMENTO.PrecoUnitarioLicitado),15-13*$AF$10),0)</f>
        <v>#VALUE!</v>
      </c>
      <c r="X109" s="53" t="e">
        <f t="shared" ca="1" si="42"/>
        <v>#VALUE!</v>
      </c>
      <c r="Y109" s="54" t="s">
        <v>63</v>
      </c>
      <c r="Z109" t="e">
        <f t="shared" ca="1" si="56"/>
        <v>#VALUE!</v>
      </c>
      <c r="AA109" s="55" t="e">
        <f ca="1">IF($C109="S",IF($Z109="CP",$X109,IF($Z109="RA",(($X109)*[1]QCI!$AA$3),0)),SomaAgrup)</f>
        <v>#VALUE!</v>
      </c>
      <c r="AB109" s="56" t="e">
        <f t="shared" ca="1" si="43"/>
        <v>#VALUE!</v>
      </c>
      <c r="AC109" s="57" t="e">
        <f ca="1">IF($N109="","",IF(ORÇAMENTO.Descricao="","DESCRIÇÃO",IF(AND($C109="S",ORÇAMENTO.Unidade=""),"UNIDADE",IF($X109&lt;0,"VALOR NEGATIVO",IF(OR(AND(TIPOORCAMENTO="Proposto",$AG109&lt;&gt;"",$AG109&gt;0,ORÇAMENTO.CustoUnitario&gt;$AG109),AND(TIPOORCAMENTO="LICITADO",ORÇAMENTO.PrecoUnitarioLicitado&gt;$AN109)),"ACIMA REF.","")))))</f>
        <v>#VALUE!</v>
      </c>
      <c r="AD109" t="str">
        <f ca="1">IF(C109&lt;=CRONO.NivelExibicao,MAX($AD$15:OFFSET(AD109,-1,0))+IF($C109&lt;&gt;1,1,MAX(1,COUNTIF([1]QCI!$A$13:$A$24,OFFSET($E109,-1,0)))),"")</f>
        <v/>
      </c>
      <c r="AE109" s="4" t="str">
        <f ca="1">IF(AND($C109="S",ORÇAMENTO.CodBarra&lt;&gt;""),IF(ORÇAMENTO.Fonte="",ORÇAMENTO.CodBarra,CONCATENATE(ORÇAMENTO.Fonte," ",ORÇAMENTO.CodBarra)))</f>
        <v>SINAPI 100867</v>
      </c>
      <c r="AF109" s="58" t="e">
        <f ca="1">IF(ISERROR(INDIRECT(ORÇAMENTO.BancoRef)),"(abra o arquivo 'Referência "&amp;Excel_BuiltIn_Database&amp;".xls)",IF(OR($C109&lt;&gt;"S",ORÇAMENTO.CodBarra=""),"(Sem Código)",IF(ISERROR(MATCH($AE109,INDIRECT(ORÇAMENTO.BancoRef),0)),"(Código não identificado nas referências)",MATCH($AE109,INDIRECT(ORÇAMENTO.BancoRef),0))))</f>
        <v>#VALUE!</v>
      </c>
      <c r="AG109" s="59" t="e">
        <f ca="1">ROUND(IF(DESONERACAO="sim",REFERENCIA.Desonerado,REFERENCIA.NaoDesonerado),2)</f>
        <v>#VALUE!</v>
      </c>
      <c r="AH109" s="60">
        <f t="shared" si="44"/>
        <v>0.2223</v>
      </c>
      <c r="AJ109" s="61">
        <v>2</v>
      </c>
      <c r="AL109" s="62"/>
      <c r="AM109" s="63" t="e">
        <f t="shared" ca="1" si="0"/>
        <v>#VALUE!</v>
      </c>
      <c r="AN109" s="64" t="e">
        <f t="shared" ca="1" si="45"/>
        <v>#VALUE!</v>
      </c>
    </row>
    <row r="110" spans="1:40" ht="38.25" x14ac:dyDescent="0.2">
      <c r="A110" t="str">
        <f t="shared" si="41"/>
        <v>S</v>
      </c>
      <c r="B110">
        <f t="shared" ca="1" si="46"/>
        <v>3</v>
      </c>
      <c r="C110" t="str">
        <f t="shared" ca="1" si="47"/>
        <v>S</v>
      </c>
      <c r="D110">
        <f t="shared" ca="1" si="48"/>
        <v>0</v>
      </c>
      <c r="E110" t="e">
        <f ca="1">IF($C110=1,OFFSET(E110,-1,0)+MAX(1,COUNTIF([1]QCI!$A$13:$A$24,OFFSET('PLANILHA A LICITAR'!E110,-1,0))),OFFSET(E110,-1,0))</f>
        <v>#VALUE!</v>
      </c>
      <c r="F110">
        <f t="shared" ca="1" si="49"/>
        <v>2</v>
      </c>
      <c r="G110">
        <f t="shared" ca="1" si="50"/>
        <v>7</v>
      </c>
      <c r="H110">
        <f t="shared" ca="1" si="51"/>
        <v>0</v>
      </c>
      <c r="I110" t="e">
        <f t="shared" ca="1" si="52"/>
        <v>#VALUE!</v>
      </c>
      <c r="J110">
        <f t="shared" ca="1" si="59"/>
        <v>0</v>
      </c>
      <c r="K110">
        <f ca="1">IF(OR($C110="S",$C110=0),0,MATCH(OFFSET($D110,0,$C110)+IF($C110&lt;&gt;1,1,COUNTIF([1]QCI!$A$13:$A$24,'PLANILHA A LICITAR'!E110)),OFFSET($D110,1,$C110,ROW($C$145)-ROW($C110)),0))</f>
        <v>0</v>
      </c>
      <c r="L110" s="42" t="e">
        <f t="shared" ca="1" si="53"/>
        <v>#VALUE!</v>
      </c>
      <c r="M110" s="43" t="s">
        <v>7</v>
      </c>
      <c r="N110" s="44" t="str">
        <f t="shared" ca="1" si="54"/>
        <v>Serviço</v>
      </c>
      <c r="O110" s="45" t="e">
        <f t="shared" ca="1" si="55"/>
        <v>#VALUE!</v>
      </c>
      <c r="P110" s="46" t="s">
        <v>62</v>
      </c>
      <c r="Q110" s="47">
        <v>100868</v>
      </c>
      <c r="R110" s="48" t="s">
        <v>191</v>
      </c>
      <c r="S110" s="49" t="s">
        <v>85</v>
      </c>
      <c r="T110" s="50" t="e">
        <f ca="1">OFFSET([1]CÁLCULO!H$15,ROW($T110)-ROW(T$15),0)</f>
        <v>#VALUE!</v>
      </c>
      <c r="U110" s="51" t="e">
        <f t="shared" ca="1" si="60"/>
        <v>#VALUE!</v>
      </c>
      <c r="V110" s="52" t="s">
        <v>10</v>
      </c>
      <c r="W110" s="50" t="e">
        <f ca="1">IF($C110="S",ROUND(IF(TIPOORCAMENTO="Proposto",ORÇAMENTO.CustoUnitario*(1+$AH110),ORÇAMENTO.PrecoUnitarioLicitado),15-13*$AF$10),0)</f>
        <v>#VALUE!</v>
      </c>
      <c r="X110" s="53" t="e">
        <f t="shared" ca="1" si="42"/>
        <v>#VALUE!</v>
      </c>
      <c r="Y110" s="54" t="s">
        <v>63</v>
      </c>
      <c r="Z110" t="e">
        <f t="shared" ca="1" si="56"/>
        <v>#VALUE!</v>
      </c>
      <c r="AA110" s="55" t="e">
        <f ca="1">IF($C110="S",IF($Z110="CP",$X110,IF($Z110="RA",(($X110)*[1]QCI!$AA$3),0)),SomaAgrup)</f>
        <v>#VALUE!</v>
      </c>
      <c r="AB110" s="56" t="e">
        <f t="shared" ca="1" si="43"/>
        <v>#VALUE!</v>
      </c>
      <c r="AC110" s="57" t="e">
        <f ca="1">IF($N110="","",IF(ORÇAMENTO.Descricao="","DESCRIÇÃO",IF(AND($C110="S",ORÇAMENTO.Unidade=""),"UNIDADE",IF($X110&lt;0,"VALOR NEGATIVO",IF(OR(AND(TIPOORCAMENTO="Proposto",$AG110&lt;&gt;"",$AG110&gt;0,ORÇAMENTO.CustoUnitario&gt;$AG110),AND(TIPOORCAMENTO="LICITADO",ORÇAMENTO.PrecoUnitarioLicitado&gt;$AN110)),"ACIMA REF.","")))))</f>
        <v>#VALUE!</v>
      </c>
      <c r="AD110" t="str">
        <f ca="1">IF(C110&lt;=CRONO.NivelExibicao,MAX($AD$15:OFFSET(AD110,-1,0))+IF($C110&lt;&gt;1,1,MAX(1,COUNTIF([1]QCI!$A$13:$A$24,OFFSET($E110,-1,0)))),"")</f>
        <v/>
      </c>
      <c r="AE110" s="4" t="str">
        <f ca="1">IF(AND($C110="S",ORÇAMENTO.CodBarra&lt;&gt;""),IF(ORÇAMENTO.Fonte="",ORÇAMENTO.CodBarra,CONCATENATE(ORÇAMENTO.Fonte," ",ORÇAMENTO.CodBarra)))</f>
        <v>SINAPI 100868</v>
      </c>
      <c r="AF110" s="58" t="e">
        <f ca="1">IF(ISERROR(INDIRECT(ORÇAMENTO.BancoRef)),"(abra o arquivo 'Referência "&amp;Excel_BuiltIn_Database&amp;".xls)",IF(OR($C110&lt;&gt;"S",ORÇAMENTO.CodBarra=""),"(Sem Código)",IF(ISERROR(MATCH($AE110,INDIRECT(ORÇAMENTO.BancoRef),0)),"(Código não identificado nas referências)",MATCH($AE110,INDIRECT(ORÇAMENTO.BancoRef),0))))</f>
        <v>#VALUE!</v>
      </c>
      <c r="AG110" s="59" t="e">
        <f ca="1">ROUND(IF(DESONERACAO="sim",REFERENCIA.Desonerado,REFERENCIA.NaoDesonerado),2)</f>
        <v>#VALUE!</v>
      </c>
      <c r="AH110" s="60">
        <f t="shared" si="44"/>
        <v>0.2223</v>
      </c>
      <c r="AJ110" s="61">
        <v>1</v>
      </c>
      <c r="AL110" s="62"/>
      <c r="AM110" s="63" t="e">
        <f t="shared" ca="1" si="0"/>
        <v>#VALUE!</v>
      </c>
      <c r="AN110" s="64" t="e">
        <f t="shared" ca="1" si="45"/>
        <v>#VALUE!</v>
      </c>
    </row>
    <row r="111" spans="1:40" ht="25.5" x14ac:dyDescent="0.2">
      <c r="A111" t="str">
        <f t="shared" si="41"/>
        <v>S</v>
      </c>
      <c r="B111">
        <f t="shared" ca="1" si="46"/>
        <v>3</v>
      </c>
      <c r="C111" t="str">
        <f t="shared" ca="1" si="47"/>
        <v>S</v>
      </c>
      <c r="D111">
        <f t="shared" ca="1" si="48"/>
        <v>0</v>
      </c>
      <c r="E111" t="e">
        <f ca="1">IF($C111=1,OFFSET(E111,-1,0)+MAX(1,COUNTIF([1]QCI!$A$13:$A$24,OFFSET('PLANILHA A LICITAR'!E111,-1,0))),OFFSET(E111,-1,0))</f>
        <v>#VALUE!</v>
      </c>
      <c r="F111">
        <f t="shared" ca="1" si="49"/>
        <v>2</v>
      </c>
      <c r="G111">
        <f t="shared" ca="1" si="50"/>
        <v>7</v>
      </c>
      <c r="H111">
        <f t="shared" ca="1" si="51"/>
        <v>0</v>
      </c>
      <c r="I111" t="e">
        <f t="shared" ca="1" si="52"/>
        <v>#VALUE!</v>
      </c>
      <c r="J111">
        <f t="shared" ca="1" si="59"/>
        <v>0</v>
      </c>
      <c r="K111">
        <f ca="1">IF(OR($C111="S",$C111=0),0,MATCH(OFFSET($D111,0,$C111)+IF($C111&lt;&gt;1,1,COUNTIF([1]QCI!$A$13:$A$24,'PLANILHA A LICITAR'!E111)),OFFSET($D111,1,$C111,ROW($C$145)-ROW($C111)),0))</f>
        <v>0</v>
      </c>
      <c r="L111" s="42" t="e">
        <f t="shared" ca="1" si="53"/>
        <v>#VALUE!</v>
      </c>
      <c r="M111" s="43" t="s">
        <v>7</v>
      </c>
      <c r="N111" s="44" t="str">
        <f t="shared" ca="1" si="54"/>
        <v>Serviço</v>
      </c>
      <c r="O111" s="45" t="e">
        <f t="shared" ca="1" si="55"/>
        <v>#VALUE!</v>
      </c>
      <c r="P111" s="46" t="s">
        <v>62</v>
      </c>
      <c r="Q111" s="47">
        <v>95547</v>
      </c>
      <c r="R111" s="48" t="s">
        <v>192</v>
      </c>
      <c r="S111" s="49" t="s">
        <v>85</v>
      </c>
      <c r="T111" s="50" t="e">
        <f ca="1">OFFSET([1]CÁLCULO!H$15,ROW($T111)-ROW(T$15),0)</f>
        <v>#VALUE!</v>
      </c>
      <c r="U111" s="51" t="e">
        <f t="shared" ca="1" si="60"/>
        <v>#VALUE!</v>
      </c>
      <c r="V111" s="52" t="s">
        <v>10</v>
      </c>
      <c r="W111" s="50" t="e">
        <f ca="1">IF($C111="S",ROUND(IF(TIPOORCAMENTO="Proposto",ORÇAMENTO.CustoUnitario*(1+$AH111),ORÇAMENTO.PrecoUnitarioLicitado),15-13*$AF$10),0)</f>
        <v>#VALUE!</v>
      </c>
      <c r="X111" s="53" t="e">
        <f t="shared" ca="1" si="42"/>
        <v>#VALUE!</v>
      </c>
      <c r="Y111" s="54" t="s">
        <v>63</v>
      </c>
      <c r="Z111" t="e">
        <f t="shared" ca="1" si="56"/>
        <v>#VALUE!</v>
      </c>
      <c r="AA111" s="55" t="e">
        <f ca="1">IF($C111="S",IF($Z111="CP",$X111,IF($Z111="RA",(($X111)*[1]QCI!$AA$3),0)),SomaAgrup)</f>
        <v>#VALUE!</v>
      </c>
      <c r="AB111" s="56" t="e">
        <f t="shared" ca="1" si="43"/>
        <v>#VALUE!</v>
      </c>
      <c r="AC111" s="57" t="e">
        <f ca="1">IF($N111="","",IF(ORÇAMENTO.Descricao="","DESCRIÇÃO",IF(AND($C111="S",ORÇAMENTO.Unidade=""),"UNIDADE",IF($X111&lt;0,"VALOR NEGATIVO",IF(OR(AND(TIPOORCAMENTO="Proposto",$AG111&lt;&gt;"",$AG111&gt;0,ORÇAMENTO.CustoUnitario&gt;$AG111),AND(TIPOORCAMENTO="LICITADO",ORÇAMENTO.PrecoUnitarioLicitado&gt;$AN111)),"ACIMA REF.","")))))</f>
        <v>#VALUE!</v>
      </c>
      <c r="AD111" t="str">
        <f ca="1">IF(C111&lt;=CRONO.NivelExibicao,MAX($AD$15:OFFSET(AD111,-1,0))+IF($C111&lt;&gt;1,1,MAX(1,COUNTIF([1]QCI!$A$13:$A$24,OFFSET($E111,-1,0)))),"")</f>
        <v/>
      </c>
      <c r="AE111" s="4" t="str">
        <f ca="1">IF(AND($C111="S",ORÇAMENTO.CodBarra&lt;&gt;""),IF(ORÇAMENTO.Fonte="",ORÇAMENTO.CodBarra,CONCATENATE(ORÇAMENTO.Fonte," ",ORÇAMENTO.CodBarra)))</f>
        <v>SINAPI 95547</v>
      </c>
      <c r="AF111" s="58" t="e">
        <f ca="1">IF(ISERROR(INDIRECT(ORÇAMENTO.BancoRef)),"(abra o arquivo 'Referência "&amp;Excel_BuiltIn_Database&amp;".xls)",IF(OR($C111&lt;&gt;"S",ORÇAMENTO.CodBarra=""),"(Sem Código)",IF(ISERROR(MATCH($AE111,INDIRECT(ORÇAMENTO.BancoRef),0)),"(Código não identificado nas referências)",MATCH($AE111,INDIRECT(ORÇAMENTO.BancoRef),0))))</f>
        <v>#VALUE!</v>
      </c>
      <c r="AG111" s="59" t="e">
        <f ca="1">ROUND(IF(DESONERACAO="sim",REFERENCIA.Desonerado,REFERENCIA.NaoDesonerado),2)</f>
        <v>#VALUE!</v>
      </c>
      <c r="AH111" s="60">
        <f t="shared" si="44"/>
        <v>0.2223</v>
      </c>
      <c r="AJ111" s="61">
        <v>4</v>
      </c>
      <c r="AL111" s="62"/>
      <c r="AM111" s="63" t="e">
        <f t="shared" ca="1" si="0"/>
        <v>#VALUE!</v>
      </c>
      <c r="AN111" s="64" t="e">
        <f t="shared" ca="1" si="45"/>
        <v>#VALUE!</v>
      </c>
    </row>
    <row r="112" spans="1:40" ht="25.5" x14ac:dyDescent="0.2">
      <c r="A112" t="str">
        <f t="shared" si="41"/>
        <v>S</v>
      </c>
      <c r="B112">
        <f t="shared" ca="1" si="46"/>
        <v>3</v>
      </c>
      <c r="C112" t="str">
        <f t="shared" ca="1" si="47"/>
        <v>S</v>
      </c>
      <c r="D112">
        <f t="shared" ca="1" si="48"/>
        <v>0</v>
      </c>
      <c r="E112" t="e">
        <f ca="1">IF($C112=1,OFFSET(E112,-1,0)+MAX(1,COUNTIF([1]QCI!$A$13:$A$24,OFFSET('PLANILHA A LICITAR'!E112,-1,0))),OFFSET(E112,-1,0))</f>
        <v>#VALUE!</v>
      </c>
      <c r="F112">
        <f t="shared" ca="1" si="49"/>
        <v>2</v>
      </c>
      <c r="G112">
        <f t="shared" ca="1" si="50"/>
        <v>7</v>
      </c>
      <c r="H112">
        <f t="shared" ca="1" si="51"/>
        <v>0</v>
      </c>
      <c r="I112" t="e">
        <f t="shared" ca="1" si="52"/>
        <v>#VALUE!</v>
      </c>
      <c r="J112">
        <f t="shared" ca="1" si="59"/>
        <v>0</v>
      </c>
      <c r="K112">
        <f ca="1">IF(OR($C112="S",$C112=0),0,MATCH(OFFSET($D112,0,$C112)+IF($C112&lt;&gt;1,1,COUNTIF([1]QCI!$A$13:$A$24,'PLANILHA A LICITAR'!E112)),OFFSET($D112,1,$C112,ROW($C$145)-ROW($C112)),0))</f>
        <v>0</v>
      </c>
      <c r="L112" s="42" t="e">
        <f t="shared" ca="1" si="53"/>
        <v>#VALUE!</v>
      </c>
      <c r="M112" s="43" t="s">
        <v>7</v>
      </c>
      <c r="N112" s="44" t="str">
        <f t="shared" ca="1" si="54"/>
        <v>Serviço</v>
      </c>
      <c r="O112" s="45" t="e">
        <f t="shared" ca="1" si="55"/>
        <v>#VALUE!</v>
      </c>
      <c r="P112" s="46" t="s">
        <v>62</v>
      </c>
      <c r="Q112" s="47">
        <v>95544</v>
      </c>
      <c r="R112" s="48" t="s">
        <v>193</v>
      </c>
      <c r="S112" s="49" t="s">
        <v>85</v>
      </c>
      <c r="T112" s="50" t="e">
        <f ca="1">OFFSET([1]CÁLCULO!H$15,ROW($T112)-ROW(T$15),0)</f>
        <v>#VALUE!</v>
      </c>
      <c r="U112" s="51" t="e">
        <f t="shared" ca="1" si="60"/>
        <v>#VALUE!</v>
      </c>
      <c r="V112" s="52" t="s">
        <v>10</v>
      </c>
      <c r="W112" s="50" t="e">
        <f ca="1">IF($C112="S",ROUND(IF(TIPOORCAMENTO="Proposto",ORÇAMENTO.CustoUnitario*(1+$AH112),ORÇAMENTO.PrecoUnitarioLicitado),15-13*$AF$10),0)</f>
        <v>#VALUE!</v>
      </c>
      <c r="X112" s="53" t="e">
        <f t="shared" ca="1" si="42"/>
        <v>#VALUE!</v>
      </c>
      <c r="Y112" s="54" t="s">
        <v>63</v>
      </c>
      <c r="Z112" t="e">
        <f t="shared" ca="1" si="56"/>
        <v>#VALUE!</v>
      </c>
      <c r="AA112" s="55" t="e">
        <f ca="1">IF($C112="S",IF($Z112="CP",$X112,IF($Z112="RA",(($X112)*[1]QCI!$AA$3),0)),SomaAgrup)</f>
        <v>#VALUE!</v>
      </c>
      <c r="AB112" s="56" t="e">
        <f t="shared" ca="1" si="43"/>
        <v>#VALUE!</v>
      </c>
      <c r="AC112" s="57" t="e">
        <f ca="1">IF($N112="","",IF(ORÇAMENTO.Descricao="","DESCRIÇÃO",IF(AND($C112="S",ORÇAMENTO.Unidade=""),"UNIDADE",IF($X112&lt;0,"VALOR NEGATIVO",IF(OR(AND(TIPOORCAMENTO="Proposto",$AG112&lt;&gt;"",$AG112&gt;0,ORÇAMENTO.CustoUnitario&gt;$AG112),AND(TIPOORCAMENTO="LICITADO",ORÇAMENTO.PrecoUnitarioLicitado&gt;$AN112)),"ACIMA REF.","")))))</f>
        <v>#VALUE!</v>
      </c>
      <c r="AD112" t="str">
        <f ca="1">IF(C112&lt;=CRONO.NivelExibicao,MAX($AD$15:OFFSET(AD112,-1,0))+IF($C112&lt;&gt;1,1,MAX(1,COUNTIF([1]QCI!$A$13:$A$24,OFFSET($E112,-1,0)))),"")</f>
        <v/>
      </c>
      <c r="AE112" s="4" t="str">
        <f ca="1">IF(AND($C112="S",ORÇAMENTO.CodBarra&lt;&gt;""),IF(ORÇAMENTO.Fonte="",ORÇAMENTO.CodBarra,CONCATENATE(ORÇAMENTO.Fonte," ",ORÇAMENTO.CodBarra)))</f>
        <v>SINAPI 95544</v>
      </c>
      <c r="AF112" s="58" t="e">
        <f ca="1">IF(ISERROR(INDIRECT(ORÇAMENTO.BancoRef)),"(abra o arquivo 'Referência "&amp;Excel_BuiltIn_Database&amp;".xls)",IF(OR($C112&lt;&gt;"S",ORÇAMENTO.CodBarra=""),"(Sem Código)",IF(ISERROR(MATCH($AE112,INDIRECT(ORÇAMENTO.BancoRef),0)),"(Código não identificado nas referências)",MATCH($AE112,INDIRECT(ORÇAMENTO.BancoRef),0))))</f>
        <v>#VALUE!</v>
      </c>
      <c r="AG112" s="59" t="e">
        <f ca="1">ROUND(IF(DESONERACAO="sim",REFERENCIA.Desonerado,REFERENCIA.NaoDesonerado),2)</f>
        <v>#VALUE!</v>
      </c>
      <c r="AH112" s="60">
        <f t="shared" si="44"/>
        <v>0.2223</v>
      </c>
      <c r="AJ112" s="61">
        <v>4</v>
      </c>
      <c r="AL112" s="62"/>
      <c r="AM112" s="63" t="e">
        <f t="shared" ca="1" si="0"/>
        <v>#VALUE!</v>
      </c>
      <c r="AN112" s="64" t="e">
        <f t="shared" ca="1" si="45"/>
        <v>#VALUE!</v>
      </c>
    </row>
    <row r="113" spans="1:40" x14ac:dyDescent="0.2">
      <c r="A113" t="str">
        <f t="shared" si="41"/>
        <v>S</v>
      </c>
      <c r="B113">
        <f t="shared" ca="1" si="46"/>
        <v>3</v>
      </c>
      <c r="C113" t="str">
        <f t="shared" ca="1" si="47"/>
        <v>S</v>
      </c>
      <c r="D113">
        <f t="shared" ca="1" si="48"/>
        <v>0</v>
      </c>
      <c r="E113" t="e">
        <f ca="1">IF($C113=1,OFFSET(E113,-1,0)+MAX(1,COUNTIF([1]QCI!$A$13:$A$24,OFFSET('PLANILHA A LICITAR'!E113,-1,0))),OFFSET(E113,-1,0))</f>
        <v>#VALUE!</v>
      </c>
      <c r="F113">
        <f t="shared" ca="1" si="49"/>
        <v>2</v>
      </c>
      <c r="G113">
        <f t="shared" ca="1" si="50"/>
        <v>7</v>
      </c>
      <c r="H113">
        <f t="shared" ca="1" si="51"/>
        <v>0</v>
      </c>
      <c r="I113" t="e">
        <f t="shared" ca="1" si="52"/>
        <v>#VALUE!</v>
      </c>
      <c r="J113">
        <f t="shared" ca="1" si="59"/>
        <v>0</v>
      </c>
      <c r="K113">
        <f ca="1">IF(OR($C113="S",$C113=0),0,MATCH(OFFSET($D113,0,$C113)+IF($C113&lt;&gt;1,1,COUNTIF([1]QCI!$A$13:$A$24,'PLANILHA A LICITAR'!E113)),OFFSET($D113,1,$C113,ROW($C$145)-ROW($C113)),0))</f>
        <v>0</v>
      </c>
      <c r="L113" s="42" t="e">
        <f t="shared" ca="1" si="53"/>
        <v>#VALUE!</v>
      </c>
      <c r="M113" s="43" t="s">
        <v>7</v>
      </c>
      <c r="N113" s="44" t="str">
        <f t="shared" ca="1" si="54"/>
        <v>Serviço</v>
      </c>
      <c r="O113" s="45" t="e">
        <f t="shared" ca="1" si="55"/>
        <v>#VALUE!</v>
      </c>
      <c r="P113" s="46" t="s">
        <v>70</v>
      </c>
      <c r="Q113" s="47">
        <v>11186</v>
      </c>
      <c r="R113" s="48" t="s">
        <v>194</v>
      </c>
      <c r="S113" s="49" t="s">
        <v>72</v>
      </c>
      <c r="T113" s="50" t="e">
        <f ca="1">OFFSET([1]CÁLCULO!H$15,ROW($T113)-ROW(T$15),0)</f>
        <v>#VALUE!</v>
      </c>
      <c r="U113" s="51" t="e">
        <f t="shared" ca="1" si="60"/>
        <v>#VALUE!</v>
      </c>
      <c r="V113" s="52" t="s">
        <v>10</v>
      </c>
      <c r="W113" s="50" t="e">
        <f ca="1">IF($C113="S",ROUND(IF(TIPOORCAMENTO="Proposto",ORÇAMENTO.CustoUnitario*(1+$AH113),ORÇAMENTO.PrecoUnitarioLicitado),15-13*$AF$10),0)</f>
        <v>#VALUE!</v>
      </c>
      <c r="X113" s="53" t="e">
        <f t="shared" ca="1" si="42"/>
        <v>#VALUE!</v>
      </c>
      <c r="Y113" s="54" t="s">
        <v>63</v>
      </c>
      <c r="Z113" t="e">
        <f t="shared" ca="1" si="56"/>
        <v>#VALUE!</v>
      </c>
      <c r="AA113" s="55" t="e">
        <f ca="1">IF($C113="S",IF($Z113="CP",$X113,IF($Z113="RA",(($X113)*[1]QCI!$AA$3),0)),SomaAgrup)</f>
        <v>#VALUE!</v>
      </c>
      <c r="AB113" s="56" t="e">
        <f t="shared" ca="1" si="43"/>
        <v>#VALUE!</v>
      </c>
      <c r="AC113" s="57" t="e">
        <f ca="1">IF($N113="","",IF(ORÇAMENTO.Descricao="","DESCRIÇÃO",IF(AND($C113="S",ORÇAMENTO.Unidade=""),"UNIDADE",IF($X113&lt;0,"VALOR NEGATIVO",IF(OR(AND(TIPOORCAMENTO="Proposto",$AG113&lt;&gt;"",$AG113&gt;0,ORÇAMENTO.CustoUnitario&gt;$AG113),AND(TIPOORCAMENTO="LICITADO",ORÇAMENTO.PrecoUnitarioLicitado&gt;$AN113)),"ACIMA REF.","")))))</f>
        <v>#VALUE!</v>
      </c>
      <c r="AD113" t="str">
        <f ca="1">IF(C113&lt;=CRONO.NivelExibicao,MAX($AD$15:OFFSET(AD113,-1,0))+IF($C113&lt;&gt;1,1,MAX(1,COUNTIF([1]QCI!$A$13:$A$24,OFFSET($E113,-1,0)))),"")</f>
        <v/>
      </c>
      <c r="AE113" s="4" t="str">
        <f ca="1">IF(AND($C113="S",ORÇAMENTO.CodBarra&lt;&gt;""),IF(ORÇAMENTO.Fonte="",ORÇAMENTO.CodBarra,CONCATENATE(ORÇAMENTO.Fonte," ",ORÇAMENTO.CodBarra)))</f>
        <v>SINAPI-I 11186</v>
      </c>
      <c r="AF113" s="58" t="e">
        <f ca="1">IF(ISERROR(INDIRECT(ORÇAMENTO.BancoRef)),"(abra o arquivo 'Referência "&amp;Excel_BuiltIn_Database&amp;".xls)",IF(OR($C113&lt;&gt;"S",ORÇAMENTO.CodBarra=""),"(Sem Código)",IF(ISERROR(MATCH($AE113,INDIRECT(ORÇAMENTO.BancoRef),0)),"(Código não identificado nas referências)",MATCH($AE113,INDIRECT(ORÇAMENTO.BancoRef),0))))</f>
        <v>#VALUE!</v>
      </c>
      <c r="AG113" s="59" t="e">
        <f ca="1">ROUND(IF(DESONERACAO="sim",REFERENCIA.Desonerado,REFERENCIA.NaoDesonerado),2)</f>
        <v>#VALUE!</v>
      </c>
      <c r="AH113" s="60">
        <f t="shared" si="44"/>
        <v>0.2223</v>
      </c>
      <c r="AJ113" s="61">
        <v>6</v>
      </c>
      <c r="AL113" s="62"/>
      <c r="AM113" s="63" t="e">
        <f t="shared" ca="1" si="0"/>
        <v>#VALUE!</v>
      </c>
      <c r="AN113" s="64" t="e">
        <f t="shared" ca="1" si="45"/>
        <v>#VALUE!</v>
      </c>
    </row>
    <row r="114" spans="1:40" x14ac:dyDescent="0.2">
      <c r="A114">
        <f t="shared" si="41"/>
        <v>3</v>
      </c>
      <c r="B114">
        <f t="shared" ca="1" si="46"/>
        <v>3</v>
      </c>
      <c r="C114">
        <f t="shared" ca="1" si="47"/>
        <v>3</v>
      </c>
      <c r="D114">
        <f t="shared" ca="1" si="48"/>
        <v>17</v>
      </c>
      <c r="E114" t="e">
        <f ca="1">IF($C114=1,OFFSET(E114,-1,0)+MAX(1,COUNTIF([1]QCI!$A$13:$A$24,OFFSET('PLANILHA A LICITAR'!E114,-1,0))),OFFSET(E114,-1,0))</f>
        <v>#VALUE!</v>
      </c>
      <c r="F114">
        <f t="shared" ca="1" si="49"/>
        <v>2</v>
      </c>
      <c r="G114">
        <f t="shared" ca="1" si="50"/>
        <v>8</v>
      </c>
      <c r="H114">
        <f t="shared" ca="1" si="51"/>
        <v>0</v>
      </c>
      <c r="I114">
        <f t="shared" ca="1" si="52"/>
        <v>0</v>
      </c>
      <c r="J114">
        <f t="shared" ca="1" si="59"/>
        <v>31</v>
      </c>
      <c r="K114">
        <f ca="1">IF(OR($C114="S",$C114=0),0,MATCH(OFFSET($D114,0,$C114)+IF($C114&lt;&gt;1,1,COUNTIF([1]QCI!$A$13:$A$24,'PLANILHA A LICITAR'!E114)),OFFSET($D114,1,$C114,ROW($C$145)-ROW($C114)),0))</f>
        <v>17</v>
      </c>
      <c r="L114" s="42" t="e">
        <f t="shared" ca="1" si="53"/>
        <v>#VALUE!</v>
      </c>
      <c r="M114" s="43" t="s">
        <v>5</v>
      </c>
      <c r="N114" s="44" t="str">
        <f t="shared" ca="1" si="54"/>
        <v>Nível 3</v>
      </c>
      <c r="O114" s="45" t="e">
        <f t="shared" ca="1" si="55"/>
        <v>#VALUE!</v>
      </c>
      <c r="P114" s="46" t="s">
        <v>62</v>
      </c>
      <c r="Q114" s="47"/>
      <c r="R114" s="48" t="s">
        <v>195</v>
      </c>
      <c r="S114" s="49" t="s">
        <v>67</v>
      </c>
      <c r="T114" s="50" t="e">
        <f ca="1">OFFSET([1]CÁLCULO!H$15,ROW($T114)-ROW(T$15),0)</f>
        <v>#VALUE!</v>
      </c>
      <c r="U114" s="51"/>
      <c r="V114" s="52" t="s">
        <v>10</v>
      </c>
      <c r="W114" s="50">
        <f ca="1">IF($C114="S",ROUND(IF(TIPOORCAMENTO="Proposto",ORÇAMENTO.CustoUnitario*(1+$AH114),ORÇAMENTO.PrecoUnitarioLicitado),15-13*$AF$10),0)</f>
        <v>0</v>
      </c>
      <c r="X114" s="53" t="e">
        <f t="shared" ca="1" si="42"/>
        <v>#VALUE!</v>
      </c>
      <c r="Y114" s="54" t="s">
        <v>63</v>
      </c>
      <c r="Z114" t="e">
        <f t="shared" ca="1" si="56"/>
        <v>#VALUE!</v>
      </c>
      <c r="AA114" s="55" t="e">
        <f ca="1">IF($C114="S",IF($Z114="CP",$X114,IF($Z114="RA",(($X114)*[1]QCI!$AA$3),0)),SomaAgrup)</f>
        <v>#VALUE!</v>
      </c>
      <c r="AB114" s="56" t="e">
        <f t="shared" ca="1" si="43"/>
        <v>#VALUE!</v>
      </c>
      <c r="AC114" s="57" t="e">
        <f ca="1">IF($N114="","",IF(ORÇAMENTO.Descricao="","DESCRIÇÃO",IF(AND($C114="S",ORÇAMENTO.Unidade=""),"UNIDADE",IF($X114&lt;0,"VALOR NEGATIVO",IF(OR(AND(TIPOORCAMENTO="Proposto",$AG114&lt;&gt;"",$AG114&gt;0,ORÇAMENTO.CustoUnitario&gt;$AG114),AND(TIPOORCAMENTO="LICITADO",ORÇAMENTO.PrecoUnitarioLicitado&gt;$AN114)),"ACIMA REF.","")))))</f>
        <v>#VALUE!</v>
      </c>
      <c r="AD114" t="e">
        <f ca="1">IF(C114&lt;=CRONO.NivelExibicao,MAX($AD$15:OFFSET(AD114,-1,0))+IF($C114&lt;&gt;1,1,MAX(1,COUNTIF([1]QCI!$A$13:$A$24,OFFSET($E114,-1,0)))),"")</f>
        <v>#VALUE!</v>
      </c>
      <c r="AE114" s="4" t="b">
        <f ca="1">IF(AND($C114="S",ORÇAMENTO.CodBarra&lt;&gt;""),IF(ORÇAMENTO.Fonte="",ORÇAMENTO.CodBarra,CONCATENATE(ORÇAMENTO.Fonte," ",ORÇAMENTO.CodBarra)))</f>
        <v>0</v>
      </c>
      <c r="AF114" s="58" t="e">
        <f ca="1">IF(ISERROR(INDIRECT(ORÇAMENTO.BancoRef)),"(abra o arquivo 'Referência "&amp;Excel_BuiltIn_Database&amp;".xls)",IF(OR($C114&lt;&gt;"S",ORÇAMENTO.CodBarra=""),"(Sem Código)",IF(ISERROR(MATCH($AE114,INDIRECT(ORÇAMENTO.BancoRef),0)),"(Código não identificado nas referências)",MATCH($AE114,INDIRECT(ORÇAMENTO.BancoRef),0))))</f>
        <v>#VALUE!</v>
      </c>
      <c r="AG114" s="59" t="e">
        <f ca="1">ROUND(IF(DESONERACAO="sim",REFERENCIA.Desonerado,REFERENCIA.NaoDesonerado),2)</f>
        <v>#VALUE!</v>
      </c>
      <c r="AH114" s="60">
        <f t="shared" si="44"/>
        <v>0.2223</v>
      </c>
      <c r="AJ114" s="61"/>
      <c r="AL114" s="62"/>
      <c r="AM114" s="63" t="e">
        <f t="shared" ca="1" si="0"/>
        <v>#VALUE!</v>
      </c>
      <c r="AN114" s="64">
        <f t="shared" si="45"/>
        <v>0</v>
      </c>
    </row>
    <row r="115" spans="1:40" ht="38.25" x14ac:dyDescent="0.2">
      <c r="A115" t="str">
        <f t="shared" si="41"/>
        <v>S</v>
      </c>
      <c r="B115">
        <f t="shared" ca="1" si="46"/>
        <v>3</v>
      </c>
      <c r="C115" t="str">
        <f t="shared" ca="1" si="47"/>
        <v>S</v>
      </c>
      <c r="D115">
        <f t="shared" ca="1" si="48"/>
        <v>0</v>
      </c>
      <c r="E115" t="e">
        <f ca="1">IF($C115=1,OFFSET(E115,-1,0)+MAX(1,COUNTIF([1]QCI!$A$13:$A$24,OFFSET('PLANILHA A LICITAR'!E115,-1,0))),OFFSET(E115,-1,0))</f>
        <v>#VALUE!</v>
      </c>
      <c r="F115">
        <f t="shared" ca="1" si="49"/>
        <v>2</v>
      </c>
      <c r="G115">
        <f t="shared" ca="1" si="50"/>
        <v>8</v>
      </c>
      <c r="H115">
        <f t="shared" ca="1" si="51"/>
        <v>0</v>
      </c>
      <c r="I115" t="e">
        <f t="shared" ca="1" si="52"/>
        <v>#VALUE!</v>
      </c>
      <c r="J115">
        <f t="shared" ca="1" si="59"/>
        <v>0</v>
      </c>
      <c r="K115">
        <f ca="1">IF(OR($C115="S",$C115=0),0,MATCH(OFFSET($D115,0,$C115)+IF($C115&lt;&gt;1,1,COUNTIF([1]QCI!$A$13:$A$24,'PLANILHA A LICITAR'!E115)),OFFSET($D115,1,$C115,ROW($C$145)-ROW($C115)),0))</f>
        <v>0</v>
      </c>
      <c r="L115" s="42" t="e">
        <f t="shared" ca="1" si="53"/>
        <v>#VALUE!</v>
      </c>
      <c r="M115" s="43" t="s">
        <v>7</v>
      </c>
      <c r="N115" s="44" t="str">
        <f t="shared" ca="1" si="54"/>
        <v>Serviço</v>
      </c>
      <c r="O115" s="45" t="e">
        <f t="shared" ca="1" si="55"/>
        <v>#VALUE!</v>
      </c>
      <c r="P115" s="46" t="s">
        <v>62</v>
      </c>
      <c r="Q115" s="47">
        <v>102622</v>
      </c>
      <c r="R115" s="48" t="s">
        <v>196</v>
      </c>
      <c r="S115" s="49" t="s">
        <v>85</v>
      </c>
      <c r="T115" s="50" t="e">
        <f ca="1">OFFSET([1]CÁLCULO!H$15,ROW($T115)-ROW(T$15),0)</f>
        <v>#VALUE!</v>
      </c>
      <c r="U115" s="51" t="e">
        <f ca="1">AG115</f>
        <v>#VALUE!</v>
      </c>
      <c r="V115" s="52" t="s">
        <v>10</v>
      </c>
      <c r="W115" s="50" t="e">
        <f ca="1">IF($C115="S",ROUND(IF(TIPOORCAMENTO="Proposto",ORÇAMENTO.CustoUnitario*(1+$AH115),ORÇAMENTO.PrecoUnitarioLicitado),15-13*$AF$10),0)</f>
        <v>#VALUE!</v>
      </c>
      <c r="X115" s="53" t="e">
        <f t="shared" ca="1" si="42"/>
        <v>#VALUE!</v>
      </c>
      <c r="Y115" s="54" t="s">
        <v>63</v>
      </c>
      <c r="Z115" t="e">
        <f t="shared" ca="1" si="56"/>
        <v>#VALUE!</v>
      </c>
      <c r="AA115" s="55" t="e">
        <f ca="1">IF($C115="S",IF($Z115="CP",$X115,IF($Z115="RA",(($X115)*[1]QCI!$AA$3),0)),SomaAgrup)</f>
        <v>#VALUE!</v>
      </c>
      <c r="AB115" s="56" t="e">
        <f t="shared" ca="1" si="43"/>
        <v>#VALUE!</v>
      </c>
      <c r="AC115" s="57" t="e">
        <f ca="1">IF($N115="","",IF(ORÇAMENTO.Descricao="","DESCRIÇÃO",IF(AND($C115="S",ORÇAMENTO.Unidade=""),"UNIDADE",IF($X115&lt;0,"VALOR NEGATIVO",IF(OR(AND(TIPOORCAMENTO="Proposto",$AG115&lt;&gt;"",$AG115&gt;0,ORÇAMENTO.CustoUnitario&gt;$AG115),AND(TIPOORCAMENTO="LICITADO",ORÇAMENTO.PrecoUnitarioLicitado&gt;$AN115)),"ACIMA REF.","")))))</f>
        <v>#VALUE!</v>
      </c>
      <c r="AD115" t="str">
        <f ca="1">IF(C115&lt;=CRONO.NivelExibicao,MAX($AD$15:OFFSET(AD115,-1,0))+IF($C115&lt;&gt;1,1,MAX(1,COUNTIF([1]QCI!$A$13:$A$24,OFFSET($E115,-1,0)))),"")</f>
        <v/>
      </c>
      <c r="AE115" s="4" t="str">
        <f ca="1">IF(AND($C115="S",ORÇAMENTO.CodBarra&lt;&gt;""),IF(ORÇAMENTO.Fonte="",ORÇAMENTO.CodBarra,CONCATENATE(ORÇAMENTO.Fonte," ",ORÇAMENTO.CodBarra)))</f>
        <v>SINAPI 102622</v>
      </c>
      <c r="AF115" s="58" t="e">
        <f ca="1">IF(ISERROR(INDIRECT(ORÇAMENTO.BancoRef)),"(abra o arquivo 'Referência "&amp;Excel_BuiltIn_Database&amp;".xls)",IF(OR($C115&lt;&gt;"S",ORÇAMENTO.CodBarra=""),"(Sem Código)",IF(ISERROR(MATCH($AE115,INDIRECT(ORÇAMENTO.BancoRef),0)),"(Código não identificado nas referências)",MATCH($AE115,INDIRECT(ORÇAMENTO.BancoRef),0))))</f>
        <v>#VALUE!</v>
      </c>
      <c r="AG115" s="59" t="e">
        <f ca="1">ROUND(IF(DESONERACAO="sim",REFERENCIA.Desonerado,REFERENCIA.NaoDesonerado),2)</f>
        <v>#VALUE!</v>
      </c>
      <c r="AH115" s="60">
        <f t="shared" si="44"/>
        <v>0.2223</v>
      </c>
      <c r="AJ115" s="61">
        <v>1</v>
      </c>
      <c r="AL115" s="62"/>
      <c r="AM115" s="63" t="e">
        <f t="shared" ca="1" si="0"/>
        <v>#VALUE!</v>
      </c>
      <c r="AN115" s="64" t="e">
        <f t="shared" ca="1" si="45"/>
        <v>#VALUE!</v>
      </c>
    </row>
    <row r="116" spans="1:40" ht="25.5" x14ac:dyDescent="0.2">
      <c r="A116" t="str">
        <f t="shared" si="41"/>
        <v>S</v>
      </c>
      <c r="B116">
        <f t="shared" ca="1" si="46"/>
        <v>3</v>
      </c>
      <c r="C116" t="str">
        <f t="shared" ca="1" si="47"/>
        <v>S</v>
      </c>
      <c r="D116">
        <f t="shared" ca="1" si="48"/>
        <v>0</v>
      </c>
      <c r="E116" t="e">
        <f ca="1">IF($C116=1,OFFSET(E116,-1,0)+MAX(1,COUNTIF([1]QCI!$A$13:$A$24,OFFSET('PLANILHA A LICITAR'!E116,-1,0))),OFFSET(E116,-1,0))</f>
        <v>#VALUE!</v>
      </c>
      <c r="F116">
        <f t="shared" ca="1" si="49"/>
        <v>2</v>
      </c>
      <c r="G116">
        <f t="shared" ca="1" si="50"/>
        <v>8</v>
      </c>
      <c r="H116">
        <f t="shared" ca="1" si="51"/>
        <v>0</v>
      </c>
      <c r="I116" t="e">
        <f t="shared" ca="1" si="52"/>
        <v>#VALUE!</v>
      </c>
      <c r="J116">
        <f t="shared" ca="1" si="59"/>
        <v>0</v>
      </c>
      <c r="K116">
        <f ca="1">IF(OR($C116="S",$C116=0),0,MATCH(OFFSET($D116,0,$C116)+IF($C116&lt;&gt;1,1,COUNTIF([1]QCI!$A$13:$A$24,'PLANILHA A LICITAR'!E116)),OFFSET($D116,1,$C116,ROW($C$145)-ROW($C116)),0))</f>
        <v>0</v>
      </c>
      <c r="L116" s="42" t="e">
        <f t="shared" ca="1" si="53"/>
        <v>#VALUE!</v>
      </c>
      <c r="M116" s="43" t="s">
        <v>7</v>
      </c>
      <c r="N116" s="44" t="str">
        <f t="shared" ca="1" si="54"/>
        <v>Serviço</v>
      </c>
      <c r="O116" s="45" t="e">
        <f t="shared" ca="1" si="55"/>
        <v>#VALUE!</v>
      </c>
      <c r="P116" s="46" t="s">
        <v>62</v>
      </c>
      <c r="Q116" s="47" t="s">
        <v>197</v>
      </c>
      <c r="R116" s="48" t="s">
        <v>198</v>
      </c>
      <c r="S116" s="49" t="s">
        <v>167</v>
      </c>
      <c r="T116" s="50" t="e">
        <f ca="1">OFFSET([1]CÁLCULO!H$15,ROW($T116)-ROW(T$15),0)</f>
        <v>#VALUE!</v>
      </c>
      <c r="U116" s="51" t="e">
        <f t="shared" ref="U116:U130" ca="1" si="61">AG116</f>
        <v>#VALUE!</v>
      </c>
      <c r="V116" s="52" t="s">
        <v>10</v>
      </c>
      <c r="W116" s="50" t="e">
        <f ca="1">IF($C116="S",ROUND(IF(TIPOORCAMENTO="Proposto",ORÇAMENTO.CustoUnitario*(1+$AH116),ORÇAMENTO.PrecoUnitarioLicitado),15-13*$AF$10),0)</f>
        <v>#VALUE!</v>
      </c>
      <c r="X116" s="53" t="e">
        <f t="shared" ca="1" si="42"/>
        <v>#VALUE!</v>
      </c>
      <c r="Y116" s="54" t="s">
        <v>63</v>
      </c>
      <c r="Z116" t="e">
        <f t="shared" ca="1" si="56"/>
        <v>#VALUE!</v>
      </c>
      <c r="AA116" s="55" t="e">
        <f ca="1">IF($C116="S",IF($Z116="CP",$X116,IF($Z116="RA",(($X116)*[1]QCI!$AA$3),0)),SomaAgrup)</f>
        <v>#VALUE!</v>
      </c>
      <c r="AB116" s="56" t="e">
        <f t="shared" ca="1" si="43"/>
        <v>#VALUE!</v>
      </c>
      <c r="AC116" s="57" t="e">
        <f ca="1">IF($N116="","",IF(ORÇAMENTO.Descricao="","DESCRIÇÃO",IF(AND($C116="S",ORÇAMENTO.Unidade=""),"UNIDADE",IF($X116&lt;0,"VALOR NEGATIVO",IF(OR(AND(TIPOORCAMENTO="Proposto",$AG116&lt;&gt;"",$AG116&gt;0,ORÇAMENTO.CustoUnitario&gt;$AG116),AND(TIPOORCAMENTO="LICITADO",ORÇAMENTO.PrecoUnitarioLicitado&gt;$AN116)),"ACIMA REF.","")))))</f>
        <v>#VALUE!</v>
      </c>
      <c r="AD116" t="str">
        <f ca="1">IF(C116&lt;=CRONO.NivelExibicao,MAX($AD$15:OFFSET(AD116,-1,0))+IF($C116&lt;&gt;1,1,MAX(1,COUNTIF([1]QCI!$A$13:$A$24,OFFSET($E116,-1,0)))),"")</f>
        <v/>
      </c>
      <c r="AE116" s="4" t="str">
        <f ca="1">IF(AND($C116="S",ORÇAMENTO.CodBarra&lt;&gt;""),IF(ORÇAMENTO.Fonte="",ORÇAMENTO.CodBarra,CONCATENATE(ORÇAMENTO.Fonte," ",ORÇAMENTO.CodBarra)))</f>
        <v>SINAPI 89449</v>
      </c>
      <c r="AF116" s="58" t="e">
        <f ca="1">IF(ISERROR(INDIRECT(ORÇAMENTO.BancoRef)),"(abra o arquivo 'Referência "&amp;Excel_BuiltIn_Database&amp;".xls)",IF(OR($C116&lt;&gt;"S",ORÇAMENTO.CodBarra=""),"(Sem Código)",IF(ISERROR(MATCH($AE116,INDIRECT(ORÇAMENTO.BancoRef),0)),"(Código não identificado nas referências)",MATCH($AE116,INDIRECT(ORÇAMENTO.BancoRef),0))))</f>
        <v>#VALUE!</v>
      </c>
      <c r="AG116" s="59" t="e">
        <f ca="1">ROUND(IF(DESONERACAO="sim",REFERENCIA.Desonerado,REFERENCIA.NaoDesonerado),2)</f>
        <v>#VALUE!</v>
      </c>
      <c r="AH116" s="60">
        <f t="shared" si="44"/>
        <v>0.2223</v>
      </c>
      <c r="AJ116" s="61">
        <v>24.09</v>
      </c>
      <c r="AL116" s="62"/>
      <c r="AM116" s="63" t="e">
        <f t="shared" ca="1" si="0"/>
        <v>#VALUE!</v>
      </c>
      <c r="AN116" s="64" t="e">
        <f t="shared" ca="1" si="45"/>
        <v>#VALUE!</v>
      </c>
    </row>
    <row r="117" spans="1:40" ht="25.5" x14ac:dyDescent="0.2">
      <c r="A117" t="str">
        <f t="shared" si="41"/>
        <v>S</v>
      </c>
      <c r="B117">
        <f t="shared" ca="1" si="46"/>
        <v>3</v>
      </c>
      <c r="C117" t="str">
        <f t="shared" ca="1" si="47"/>
        <v>S</v>
      </c>
      <c r="D117">
        <f t="shared" ca="1" si="48"/>
        <v>0</v>
      </c>
      <c r="E117" t="e">
        <f ca="1">IF($C117=1,OFFSET(E117,-1,0)+MAX(1,COUNTIF([1]QCI!$A$13:$A$24,OFFSET('PLANILHA A LICITAR'!E117,-1,0))),OFFSET(E117,-1,0))</f>
        <v>#VALUE!</v>
      </c>
      <c r="F117">
        <f t="shared" ca="1" si="49"/>
        <v>2</v>
      </c>
      <c r="G117">
        <f t="shared" ca="1" si="50"/>
        <v>8</v>
      </c>
      <c r="H117">
        <f t="shared" ca="1" si="51"/>
        <v>0</v>
      </c>
      <c r="I117" t="e">
        <f t="shared" ca="1" si="52"/>
        <v>#VALUE!</v>
      </c>
      <c r="J117">
        <f t="shared" ca="1" si="59"/>
        <v>0</v>
      </c>
      <c r="K117">
        <f ca="1">IF(OR($C117="S",$C117=0),0,MATCH(OFFSET($D117,0,$C117)+IF($C117&lt;&gt;1,1,COUNTIF([1]QCI!$A$13:$A$24,'PLANILHA A LICITAR'!E117)),OFFSET($D117,1,$C117,ROW($C$145)-ROW($C117)),0))</f>
        <v>0</v>
      </c>
      <c r="L117" s="42" t="e">
        <f t="shared" ca="1" si="53"/>
        <v>#VALUE!</v>
      </c>
      <c r="M117" s="43" t="s">
        <v>7</v>
      </c>
      <c r="N117" s="44" t="str">
        <f t="shared" ca="1" si="54"/>
        <v>Serviço</v>
      </c>
      <c r="O117" s="45" t="e">
        <f t="shared" ca="1" si="55"/>
        <v>#VALUE!</v>
      </c>
      <c r="P117" s="46" t="s">
        <v>62</v>
      </c>
      <c r="Q117" s="47">
        <v>89356</v>
      </c>
      <c r="R117" s="48" t="s">
        <v>199</v>
      </c>
      <c r="S117" s="49" t="s">
        <v>167</v>
      </c>
      <c r="T117" s="50" t="e">
        <f ca="1">OFFSET([1]CÁLCULO!H$15,ROW($T117)-ROW(T$15),0)</f>
        <v>#VALUE!</v>
      </c>
      <c r="U117" s="51" t="e">
        <f t="shared" ca="1" si="61"/>
        <v>#VALUE!</v>
      </c>
      <c r="V117" s="52" t="s">
        <v>10</v>
      </c>
      <c r="W117" s="50" t="e">
        <f ca="1">IF($C117="S",ROUND(IF(TIPOORCAMENTO="Proposto",ORÇAMENTO.CustoUnitario*(1+$AH117),ORÇAMENTO.PrecoUnitarioLicitado),15-13*$AF$10),0)</f>
        <v>#VALUE!</v>
      </c>
      <c r="X117" s="53" t="e">
        <f t="shared" ca="1" si="42"/>
        <v>#VALUE!</v>
      </c>
      <c r="Y117" s="54" t="s">
        <v>63</v>
      </c>
      <c r="Z117" t="e">
        <f t="shared" ca="1" si="56"/>
        <v>#VALUE!</v>
      </c>
      <c r="AA117" s="55" t="e">
        <f ca="1">IF($C117="S",IF($Z117="CP",$X117,IF($Z117="RA",(($X117)*[1]QCI!$AA$3),0)),SomaAgrup)</f>
        <v>#VALUE!</v>
      </c>
      <c r="AB117" s="56" t="e">
        <f t="shared" ca="1" si="43"/>
        <v>#VALUE!</v>
      </c>
      <c r="AC117" s="57" t="e">
        <f ca="1">IF($N117="","",IF(ORÇAMENTO.Descricao="","DESCRIÇÃO",IF(AND($C117="S",ORÇAMENTO.Unidade=""),"UNIDADE",IF($X117&lt;0,"VALOR NEGATIVO",IF(OR(AND(TIPOORCAMENTO="Proposto",$AG117&lt;&gt;"",$AG117&gt;0,ORÇAMENTO.CustoUnitario&gt;$AG117),AND(TIPOORCAMENTO="LICITADO",ORÇAMENTO.PrecoUnitarioLicitado&gt;$AN117)),"ACIMA REF.","")))))</f>
        <v>#VALUE!</v>
      </c>
      <c r="AD117" t="str">
        <f ca="1">IF(C117&lt;=CRONO.NivelExibicao,MAX($AD$15:OFFSET(AD117,-1,0))+IF($C117&lt;&gt;1,1,MAX(1,COUNTIF([1]QCI!$A$13:$A$24,OFFSET($E117,-1,0)))),"")</f>
        <v/>
      </c>
      <c r="AE117" s="4" t="str">
        <f ca="1">IF(AND($C117="S",ORÇAMENTO.CodBarra&lt;&gt;""),IF(ORÇAMENTO.Fonte="",ORÇAMENTO.CodBarra,CONCATENATE(ORÇAMENTO.Fonte," ",ORÇAMENTO.CodBarra)))</f>
        <v>SINAPI 89356</v>
      </c>
      <c r="AF117" s="58" t="e">
        <f ca="1">IF(ISERROR(INDIRECT(ORÇAMENTO.BancoRef)),"(abra o arquivo 'Referência "&amp;Excel_BuiltIn_Database&amp;".xls)",IF(OR($C117&lt;&gt;"S",ORÇAMENTO.CodBarra=""),"(Sem Código)",IF(ISERROR(MATCH($AE117,INDIRECT(ORÇAMENTO.BancoRef),0)),"(Código não identificado nas referências)",MATCH($AE117,INDIRECT(ORÇAMENTO.BancoRef),0))))</f>
        <v>#VALUE!</v>
      </c>
      <c r="AG117" s="59" t="e">
        <f ca="1">ROUND(IF(DESONERACAO="sim",REFERENCIA.Desonerado,REFERENCIA.NaoDesonerado),2)</f>
        <v>#VALUE!</v>
      </c>
      <c r="AH117" s="60">
        <f t="shared" si="44"/>
        <v>0.2223</v>
      </c>
      <c r="AJ117" s="61">
        <v>20.38</v>
      </c>
      <c r="AL117" s="62"/>
      <c r="AM117" s="63" t="e">
        <f t="shared" ca="1" si="0"/>
        <v>#VALUE!</v>
      </c>
      <c r="AN117" s="64" t="e">
        <f t="shared" ca="1" si="45"/>
        <v>#VALUE!</v>
      </c>
    </row>
    <row r="118" spans="1:40" ht="38.25" x14ac:dyDescent="0.2">
      <c r="A118" t="str">
        <f t="shared" si="41"/>
        <v>S</v>
      </c>
      <c r="B118">
        <f t="shared" ca="1" si="46"/>
        <v>3</v>
      </c>
      <c r="C118" t="str">
        <f t="shared" ca="1" si="47"/>
        <v>S</v>
      </c>
      <c r="D118">
        <f t="shared" ca="1" si="48"/>
        <v>0</v>
      </c>
      <c r="E118" t="e">
        <f ca="1">IF($C118=1,OFFSET(E118,-1,0)+MAX(1,COUNTIF([1]QCI!$A$13:$A$24,OFFSET('PLANILHA A LICITAR'!E118,-1,0))),OFFSET(E118,-1,0))</f>
        <v>#VALUE!</v>
      </c>
      <c r="F118">
        <f t="shared" ca="1" si="49"/>
        <v>2</v>
      </c>
      <c r="G118">
        <f t="shared" ca="1" si="50"/>
        <v>8</v>
      </c>
      <c r="H118">
        <f t="shared" ca="1" si="51"/>
        <v>0</v>
      </c>
      <c r="I118" t="e">
        <f t="shared" ca="1" si="52"/>
        <v>#VALUE!</v>
      </c>
      <c r="J118">
        <f t="shared" ca="1" si="59"/>
        <v>0</v>
      </c>
      <c r="K118">
        <f ca="1">IF(OR($C118="S",$C118=0),0,MATCH(OFFSET($D118,0,$C118)+IF($C118&lt;&gt;1,1,COUNTIF([1]QCI!$A$13:$A$24,'PLANILHA A LICITAR'!E118)),OFFSET($D118,1,$C118,ROW($C$145)-ROW($C118)),0))</f>
        <v>0</v>
      </c>
      <c r="L118" s="42" t="e">
        <f t="shared" ca="1" si="53"/>
        <v>#VALUE!</v>
      </c>
      <c r="M118" s="43" t="s">
        <v>7</v>
      </c>
      <c r="N118" s="44" t="str">
        <f t="shared" ca="1" si="54"/>
        <v>Serviço</v>
      </c>
      <c r="O118" s="45" t="e">
        <f t="shared" ca="1" si="55"/>
        <v>#VALUE!</v>
      </c>
      <c r="P118" s="46" t="s">
        <v>62</v>
      </c>
      <c r="Q118" s="47">
        <v>90373</v>
      </c>
      <c r="R118" s="48" t="s">
        <v>200</v>
      </c>
      <c r="S118" s="49" t="s">
        <v>85</v>
      </c>
      <c r="T118" s="50" t="e">
        <f ca="1">OFFSET([1]CÁLCULO!H$15,ROW($T118)-ROW(T$15),0)</f>
        <v>#VALUE!</v>
      </c>
      <c r="U118" s="51" t="e">
        <f t="shared" ca="1" si="61"/>
        <v>#VALUE!</v>
      </c>
      <c r="V118" s="52" t="s">
        <v>10</v>
      </c>
      <c r="W118" s="50" t="e">
        <f ca="1">IF($C118="S",ROUND(IF(TIPOORCAMENTO="Proposto",ORÇAMENTO.CustoUnitario*(1+$AH118),ORÇAMENTO.PrecoUnitarioLicitado),15-13*$AF$10),0)</f>
        <v>#VALUE!</v>
      </c>
      <c r="X118" s="53" t="e">
        <f t="shared" ca="1" si="42"/>
        <v>#VALUE!</v>
      </c>
      <c r="Y118" s="54" t="s">
        <v>63</v>
      </c>
      <c r="Z118" t="e">
        <f t="shared" ca="1" si="56"/>
        <v>#VALUE!</v>
      </c>
      <c r="AA118" s="55" t="e">
        <f ca="1">IF($C118="S",IF($Z118="CP",$X118,IF($Z118="RA",(($X118)*[1]QCI!$AA$3),0)),SomaAgrup)</f>
        <v>#VALUE!</v>
      </c>
      <c r="AB118" s="56" t="e">
        <f t="shared" ca="1" si="43"/>
        <v>#VALUE!</v>
      </c>
      <c r="AC118" s="57" t="e">
        <f ca="1">IF($N118="","",IF(ORÇAMENTO.Descricao="","DESCRIÇÃO",IF(AND($C118="S",ORÇAMENTO.Unidade=""),"UNIDADE",IF($X118&lt;0,"VALOR NEGATIVO",IF(OR(AND(TIPOORCAMENTO="Proposto",$AG118&lt;&gt;"",$AG118&gt;0,ORÇAMENTO.CustoUnitario&gt;$AG118),AND(TIPOORCAMENTO="LICITADO",ORÇAMENTO.PrecoUnitarioLicitado&gt;$AN118)),"ACIMA REF.","")))))</f>
        <v>#VALUE!</v>
      </c>
      <c r="AD118" t="str">
        <f ca="1">IF(C118&lt;=CRONO.NivelExibicao,MAX($AD$15:OFFSET(AD118,-1,0))+IF($C118&lt;&gt;1,1,MAX(1,COUNTIF([1]QCI!$A$13:$A$24,OFFSET($E118,-1,0)))),"")</f>
        <v/>
      </c>
      <c r="AE118" s="4" t="str">
        <f ca="1">IF(AND($C118="S",ORÇAMENTO.CodBarra&lt;&gt;""),IF(ORÇAMENTO.Fonte="",ORÇAMENTO.CodBarra,CONCATENATE(ORÇAMENTO.Fonte," ",ORÇAMENTO.CodBarra)))</f>
        <v>SINAPI 90373</v>
      </c>
      <c r="AF118" s="58" t="e">
        <f ca="1">IF(ISERROR(INDIRECT(ORÇAMENTO.BancoRef)),"(abra o arquivo 'Referência "&amp;Excel_BuiltIn_Database&amp;".xls)",IF(OR($C118&lt;&gt;"S",ORÇAMENTO.CodBarra=""),"(Sem Código)",IF(ISERROR(MATCH($AE118,INDIRECT(ORÇAMENTO.BancoRef),0)),"(Código não identificado nas referências)",MATCH($AE118,INDIRECT(ORÇAMENTO.BancoRef),0))))</f>
        <v>#VALUE!</v>
      </c>
      <c r="AG118" s="59" t="e">
        <f ca="1">ROUND(IF(DESONERACAO="sim",REFERENCIA.Desonerado,REFERENCIA.NaoDesonerado),2)</f>
        <v>#VALUE!</v>
      </c>
      <c r="AH118" s="60">
        <f t="shared" si="44"/>
        <v>0.2223</v>
      </c>
      <c r="AJ118" s="61">
        <v>12</v>
      </c>
      <c r="AL118" s="62"/>
      <c r="AM118" s="63" t="e">
        <f t="shared" ca="1" si="0"/>
        <v>#VALUE!</v>
      </c>
      <c r="AN118" s="64" t="e">
        <f t="shared" ca="1" si="45"/>
        <v>#VALUE!</v>
      </c>
    </row>
    <row r="119" spans="1:40" ht="25.5" x14ac:dyDescent="0.2">
      <c r="A119" t="str">
        <f t="shared" si="41"/>
        <v>S</v>
      </c>
      <c r="B119">
        <f t="shared" ca="1" si="46"/>
        <v>3</v>
      </c>
      <c r="C119" t="str">
        <f t="shared" ca="1" si="47"/>
        <v>S</v>
      </c>
      <c r="D119">
        <f t="shared" ca="1" si="48"/>
        <v>0</v>
      </c>
      <c r="E119" t="e">
        <f ca="1">IF($C119=1,OFFSET(E119,-1,0)+MAX(1,COUNTIF([1]QCI!$A$13:$A$24,OFFSET('PLANILHA A LICITAR'!E119,-1,0))),OFFSET(E119,-1,0))</f>
        <v>#VALUE!</v>
      </c>
      <c r="F119">
        <f t="shared" ca="1" si="49"/>
        <v>2</v>
      </c>
      <c r="G119">
        <f t="shared" ca="1" si="50"/>
        <v>8</v>
      </c>
      <c r="H119">
        <f t="shared" ca="1" si="51"/>
        <v>0</v>
      </c>
      <c r="I119" t="e">
        <f t="shared" ca="1" si="52"/>
        <v>#VALUE!</v>
      </c>
      <c r="J119">
        <f t="shared" ca="1" si="59"/>
        <v>0</v>
      </c>
      <c r="K119">
        <f ca="1">IF(OR($C119="S",$C119=0),0,MATCH(OFFSET($D119,0,$C119)+IF($C119&lt;&gt;1,1,COUNTIF([1]QCI!$A$13:$A$24,'PLANILHA A LICITAR'!E119)),OFFSET($D119,1,$C119,ROW($C$145)-ROW($C119)),0))</f>
        <v>0</v>
      </c>
      <c r="L119" s="42" t="e">
        <f t="shared" ca="1" si="53"/>
        <v>#VALUE!</v>
      </c>
      <c r="M119" s="43" t="s">
        <v>7</v>
      </c>
      <c r="N119" s="44" t="str">
        <f t="shared" ca="1" si="54"/>
        <v>Serviço</v>
      </c>
      <c r="O119" s="45" t="e">
        <f t="shared" ca="1" si="55"/>
        <v>#VALUE!</v>
      </c>
      <c r="P119" s="46" t="s">
        <v>62</v>
      </c>
      <c r="Q119" s="47">
        <v>89627</v>
      </c>
      <c r="R119" s="48" t="s">
        <v>201</v>
      </c>
      <c r="S119" s="49" t="s">
        <v>85</v>
      </c>
      <c r="T119" s="50" t="e">
        <f ca="1">OFFSET([1]CÁLCULO!H$15,ROW($T119)-ROW(T$15),0)</f>
        <v>#VALUE!</v>
      </c>
      <c r="U119" s="51" t="e">
        <f t="shared" ca="1" si="61"/>
        <v>#VALUE!</v>
      </c>
      <c r="V119" s="52" t="s">
        <v>10</v>
      </c>
      <c r="W119" s="50" t="e">
        <f ca="1">IF($C119="S",ROUND(IF(TIPOORCAMENTO="Proposto",ORÇAMENTO.CustoUnitario*(1+$AH119),ORÇAMENTO.PrecoUnitarioLicitado),15-13*$AF$10),0)</f>
        <v>#VALUE!</v>
      </c>
      <c r="X119" s="53" t="e">
        <f t="shared" ca="1" si="42"/>
        <v>#VALUE!</v>
      </c>
      <c r="Y119" s="54" t="s">
        <v>63</v>
      </c>
      <c r="Z119" t="e">
        <f t="shared" ca="1" si="56"/>
        <v>#VALUE!</v>
      </c>
      <c r="AA119" s="55" t="e">
        <f ca="1">IF($C119="S",IF($Z119="CP",$X119,IF($Z119="RA",(($X119)*[1]QCI!$AA$3),0)),SomaAgrup)</f>
        <v>#VALUE!</v>
      </c>
      <c r="AB119" s="56" t="e">
        <f t="shared" ca="1" si="43"/>
        <v>#VALUE!</v>
      </c>
      <c r="AC119" s="57" t="e">
        <f ca="1">IF($N119="","",IF(ORÇAMENTO.Descricao="","DESCRIÇÃO",IF(AND($C119="S",ORÇAMENTO.Unidade=""),"UNIDADE",IF($X119&lt;0,"VALOR NEGATIVO",IF(OR(AND(TIPOORCAMENTO="Proposto",$AG119&lt;&gt;"",$AG119&gt;0,ORÇAMENTO.CustoUnitario&gt;$AG119),AND(TIPOORCAMENTO="LICITADO",ORÇAMENTO.PrecoUnitarioLicitado&gt;$AN119)),"ACIMA REF.","")))))</f>
        <v>#VALUE!</v>
      </c>
      <c r="AD119" t="str">
        <f ca="1">IF(C119&lt;=CRONO.NivelExibicao,MAX($AD$15:OFFSET(AD119,-1,0))+IF($C119&lt;&gt;1,1,MAX(1,COUNTIF([1]QCI!$A$13:$A$24,OFFSET($E119,-1,0)))),"")</f>
        <v/>
      </c>
      <c r="AE119" s="4" t="str">
        <f ca="1">IF(AND($C119="S",ORÇAMENTO.CodBarra&lt;&gt;""),IF(ORÇAMENTO.Fonte="",ORÇAMENTO.CodBarra,CONCATENATE(ORÇAMENTO.Fonte," ",ORÇAMENTO.CodBarra)))</f>
        <v>SINAPI 89627</v>
      </c>
      <c r="AF119" s="58" t="e">
        <f ca="1">IF(ISERROR(INDIRECT(ORÇAMENTO.BancoRef)),"(abra o arquivo 'Referência "&amp;Excel_BuiltIn_Database&amp;".xls)",IF(OR($C119&lt;&gt;"S",ORÇAMENTO.CodBarra=""),"(Sem Código)",IF(ISERROR(MATCH($AE119,INDIRECT(ORÇAMENTO.BancoRef),0)),"(Código não identificado nas referências)",MATCH($AE119,INDIRECT(ORÇAMENTO.BancoRef),0))))</f>
        <v>#VALUE!</v>
      </c>
      <c r="AG119" s="59" t="e">
        <f ca="1">ROUND(IF(DESONERACAO="sim",REFERENCIA.Desonerado,REFERENCIA.NaoDesonerado),2)</f>
        <v>#VALUE!</v>
      </c>
      <c r="AH119" s="60">
        <f t="shared" si="44"/>
        <v>0.2223</v>
      </c>
      <c r="AJ119" s="61">
        <v>10</v>
      </c>
      <c r="AL119" s="62"/>
      <c r="AM119" s="63" t="e">
        <f t="shared" ca="1" si="0"/>
        <v>#VALUE!</v>
      </c>
      <c r="AN119" s="64" t="e">
        <f t="shared" ca="1" si="45"/>
        <v>#VALUE!</v>
      </c>
    </row>
    <row r="120" spans="1:40" ht="25.5" x14ac:dyDescent="0.2">
      <c r="A120" t="str">
        <f t="shared" si="41"/>
        <v>S</v>
      </c>
      <c r="B120">
        <f t="shared" ca="1" si="46"/>
        <v>3</v>
      </c>
      <c r="C120" t="str">
        <f t="shared" ca="1" si="47"/>
        <v>S</v>
      </c>
      <c r="D120">
        <f t="shared" ca="1" si="48"/>
        <v>0</v>
      </c>
      <c r="E120" t="e">
        <f ca="1">IF($C120=1,OFFSET(E120,-1,0)+MAX(1,COUNTIF([1]QCI!$A$13:$A$24,OFFSET('PLANILHA A LICITAR'!E120,-1,0))),OFFSET(E120,-1,0))</f>
        <v>#VALUE!</v>
      </c>
      <c r="F120">
        <f t="shared" ca="1" si="49"/>
        <v>2</v>
      </c>
      <c r="G120">
        <f t="shared" ca="1" si="50"/>
        <v>8</v>
      </c>
      <c r="H120">
        <f t="shared" ca="1" si="51"/>
        <v>0</v>
      </c>
      <c r="I120" t="e">
        <f t="shared" ca="1" si="52"/>
        <v>#VALUE!</v>
      </c>
      <c r="J120">
        <f t="shared" ca="1" si="59"/>
        <v>0</v>
      </c>
      <c r="K120">
        <f ca="1">IF(OR($C120="S",$C120=0),0,MATCH(OFFSET($D120,0,$C120)+IF($C120&lt;&gt;1,1,COUNTIF([1]QCI!$A$13:$A$24,'PLANILHA A LICITAR'!E120)),OFFSET($D120,1,$C120,ROW($C$145)-ROW($C120)),0))</f>
        <v>0</v>
      </c>
      <c r="L120" s="42" t="e">
        <f t="shared" ca="1" si="53"/>
        <v>#VALUE!</v>
      </c>
      <c r="M120" s="43" t="s">
        <v>7</v>
      </c>
      <c r="N120" s="44" t="str">
        <f t="shared" ca="1" si="54"/>
        <v>Serviço</v>
      </c>
      <c r="O120" s="45" t="e">
        <f t="shared" ca="1" si="55"/>
        <v>#VALUE!</v>
      </c>
      <c r="P120" s="46" t="s">
        <v>62</v>
      </c>
      <c r="Q120" s="47">
        <v>89625</v>
      </c>
      <c r="R120" s="48" t="s">
        <v>202</v>
      </c>
      <c r="S120" s="49" t="s">
        <v>85</v>
      </c>
      <c r="T120" s="50" t="e">
        <f ca="1">OFFSET([1]CÁLCULO!H$15,ROW($T120)-ROW(T$15),0)</f>
        <v>#VALUE!</v>
      </c>
      <c r="U120" s="51" t="e">
        <f t="shared" ca="1" si="61"/>
        <v>#VALUE!</v>
      </c>
      <c r="V120" s="52" t="s">
        <v>10</v>
      </c>
      <c r="W120" s="50" t="e">
        <f ca="1">IF($C120="S",ROUND(IF(TIPOORCAMENTO="Proposto",ORÇAMENTO.CustoUnitario*(1+$AH120),ORÇAMENTO.PrecoUnitarioLicitado),15-13*$AF$10),0)</f>
        <v>#VALUE!</v>
      </c>
      <c r="X120" s="53" t="e">
        <f t="shared" ca="1" si="42"/>
        <v>#VALUE!</v>
      </c>
      <c r="Y120" s="54" t="s">
        <v>63</v>
      </c>
      <c r="Z120" t="e">
        <f t="shared" ca="1" si="56"/>
        <v>#VALUE!</v>
      </c>
      <c r="AA120" s="55" t="e">
        <f ca="1">IF($C120="S",IF($Z120="CP",$X120,IF($Z120="RA",(($X120)*[1]QCI!$AA$3),0)),SomaAgrup)</f>
        <v>#VALUE!</v>
      </c>
      <c r="AB120" s="56" t="e">
        <f t="shared" ca="1" si="43"/>
        <v>#VALUE!</v>
      </c>
      <c r="AC120" s="57" t="e">
        <f ca="1">IF($N120="","",IF(ORÇAMENTO.Descricao="","DESCRIÇÃO",IF(AND($C120="S",ORÇAMENTO.Unidade=""),"UNIDADE",IF($X120&lt;0,"VALOR NEGATIVO",IF(OR(AND(TIPOORCAMENTO="Proposto",$AG120&lt;&gt;"",$AG120&gt;0,ORÇAMENTO.CustoUnitario&gt;$AG120),AND(TIPOORCAMENTO="LICITADO",ORÇAMENTO.PrecoUnitarioLicitado&gt;$AN120)),"ACIMA REF.","")))))</f>
        <v>#VALUE!</v>
      </c>
      <c r="AD120" t="str">
        <f ca="1">IF(C120&lt;=CRONO.NivelExibicao,MAX($AD$15:OFFSET(AD120,-1,0))+IF($C120&lt;&gt;1,1,MAX(1,COUNTIF([1]QCI!$A$13:$A$24,OFFSET($E120,-1,0)))),"")</f>
        <v/>
      </c>
      <c r="AE120" s="4" t="str">
        <f ca="1">IF(AND($C120="S",ORÇAMENTO.CodBarra&lt;&gt;""),IF(ORÇAMENTO.Fonte="",ORÇAMENTO.CodBarra,CONCATENATE(ORÇAMENTO.Fonte," ",ORÇAMENTO.CodBarra)))</f>
        <v>SINAPI 89625</v>
      </c>
      <c r="AF120" s="58" t="e">
        <f ca="1">IF(ISERROR(INDIRECT(ORÇAMENTO.BancoRef)),"(abra o arquivo 'Referência "&amp;Excel_BuiltIn_Database&amp;".xls)",IF(OR($C120&lt;&gt;"S",ORÇAMENTO.CodBarra=""),"(Sem Código)",IF(ISERROR(MATCH($AE120,INDIRECT(ORÇAMENTO.BancoRef),0)),"(Código não identificado nas referências)",MATCH($AE120,INDIRECT(ORÇAMENTO.BancoRef),0))))</f>
        <v>#VALUE!</v>
      </c>
      <c r="AG120" s="59" t="e">
        <f ca="1">ROUND(IF(DESONERACAO="sim",REFERENCIA.Desonerado,REFERENCIA.NaoDesonerado),2)</f>
        <v>#VALUE!</v>
      </c>
      <c r="AH120" s="60">
        <f t="shared" si="44"/>
        <v>0.2223</v>
      </c>
      <c r="AJ120" s="61">
        <v>10</v>
      </c>
      <c r="AL120" s="62"/>
      <c r="AM120" s="63" t="e">
        <f t="shared" ca="1" si="0"/>
        <v>#VALUE!</v>
      </c>
      <c r="AN120" s="64" t="e">
        <f t="shared" ca="1" si="45"/>
        <v>#VALUE!</v>
      </c>
    </row>
    <row r="121" spans="1:40" ht="25.5" x14ac:dyDescent="0.2">
      <c r="A121" t="str">
        <f t="shared" si="41"/>
        <v>S</v>
      </c>
      <c r="B121">
        <f t="shared" ca="1" si="46"/>
        <v>3</v>
      </c>
      <c r="C121" t="str">
        <f t="shared" ca="1" si="47"/>
        <v>S</v>
      </c>
      <c r="D121">
        <f t="shared" ca="1" si="48"/>
        <v>0</v>
      </c>
      <c r="E121" t="e">
        <f ca="1">IF($C121=1,OFFSET(E121,-1,0)+MAX(1,COUNTIF([1]QCI!$A$13:$A$24,OFFSET('PLANILHA A LICITAR'!E121,-1,0))),OFFSET(E121,-1,0))</f>
        <v>#VALUE!</v>
      </c>
      <c r="F121">
        <f t="shared" ca="1" si="49"/>
        <v>2</v>
      </c>
      <c r="G121">
        <f t="shared" ca="1" si="50"/>
        <v>8</v>
      </c>
      <c r="H121">
        <f t="shared" ca="1" si="51"/>
        <v>0</v>
      </c>
      <c r="I121" t="e">
        <f t="shared" ca="1" si="52"/>
        <v>#VALUE!</v>
      </c>
      <c r="J121">
        <f t="shared" ca="1" si="59"/>
        <v>0</v>
      </c>
      <c r="K121">
        <f ca="1">IF(OR($C121="S",$C121=0),0,MATCH(OFFSET($D121,0,$C121)+IF($C121&lt;&gt;1,1,COUNTIF([1]QCI!$A$13:$A$24,'PLANILHA A LICITAR'!E121)),OFFSET($D121,1,$C121,ROW($C$145)-ROW($C121)),0))</f>
        <v>0</v>
      </c>
      <c r="L121" s="42" t="e">
        <f t="shared" ca="1" si="53"/>
        <v>#VALUE!</v>
      </c>
      <c r="M121" s="43" t="s">
        <v>7</v>
      </c>
      <c r="N121" s="44" t="str">
        <f t="shared" ca="1" si="54"/>
        <v>Serviço</v>
      </c>
      <c r="O121" s="45" t="e">
        <f t="shared" ca="1" si="55"/>
        <v>#VALUE!</v>
      </c>
      <c r="P121" s="46" t="s">
        <v>62</v>
      </c>
      <c r="Q121" s="47">
        <v>89617</v>
      </c>
      <c r="R121" s="48" t="s">
        <v>203</v>
      </c>
      <c r="S121" s="49" t="s">
        <v>85</v>
      </c>
      <c r="T121" s="50" t="e">
        <f ca="1">OFFSET([1]CÁLCULO!H$15,ROW($T121)-ROW(T$15),0)</f>
        <v>#VALUE!</v>
      </c>
      <c r="U121" s="51" t="e">
        <f t="shared" ca="1" si="61"/>
        <v>#VALUE!</v>
      </c>
      <c r="V121" s="52" t="s">
        <v>10</v>
      </c>
      <c r="W121" s="50" t="e">
        <f ca="1">IF($C121="S",ROUND(IF(TIPOORCAMENTO="Proposto",ORÇAMENTO.CustoUnitario*(1+$AH121),ORÇAMENTO.PrecoUnitarioLicitado),15-13*$AF$10),0)</f>
        <v>#VALUE!</v>
      </c>
      <c r="X121" s="53" t="e">
        <f t="shared" ca="1" si="42"/>
        <v>#VALUE!</v>
      </c>
      <c r="Y121" s="54" t="s">
        <v>63</v>
      </c>
      <c r="Z121" t="e">
        <f t="shared" ca="1" si="56"/>
        <v>#VALUE!</v>
      </c>
      <c r="AA121" s="55" t="e">
        <f ca="1">IF($C121="S",IF($Z121="CP",$X121,IF($Z121="RA",(($X121)*[1]QCI!$AA$3),0)),SomaAgrup)</f>
        <v>#VALUE!</v>
      </c>
      <c r="AB121" s="56" t="e">
        <f t="shared" ca="1" si="43"/>
        <v>#VALUE!</v>
      </c>
      <c r="AC121" s="57" t="e">
        <f ca="1">IF($N121="","",IF(ORÇAMENTO.Descricao="","DESCRIÇÃO",IF(AND($C121="S",ORÇAMENTO.Unidade=""),"UNIDADE",IF($X121&lt;0,"VALOR NEGATIVO",IF(OR(AND(TIPOORCAMENTO="Proposto",$AG121&lt;&gt;"",$AG121&gt;0,ORÇAMENTO.CustoUnitario&gt;$AG121),AND(TIPOORCAMENTO="LICITADO",ORÇAMENTO.PrecoUnitarioLicitado&gt;$AN121)),"ACIMA REF.","")))))</f>
        <v>#VALUE!</v>
      </c>
      <c r="AD121" t="str">
        <f ca="1">IF(C121&lt;=CRONO.NivelExibicao,MAX($AD$15:OFFSET(AD121,-1,0))+IF($C121&lt;&gt;1,1,MAX(1,COUNTIF([1]QCI!$A$13:$A$24,OFFSET($E121,-1,0)))),"")</f>
        <v/>
      </c>
      <c r="AE121" s="4" t="str">
        <f ca="1">IF(AND($C121="S",ORÇAMENTO.CodBarra&lt;&gt;""),IF(ORÇAMENTO.Fonte="",ORÇAMENTO.CodBarra,CONCATENATE(ORÇAMENTO.Fonte," ",ORÇAMENTO.CodBarra)))</f>
        <v>SINAPI 89617</v>
      </c>
      <c r="AF121" s="58" t="e">
        <f ca="1">IF(ISERROR(INDIRECT(ORÇAMENTO.BancoRef)),"(abra o arquivo 'Referência "&amp;Excel_BuiltIn_Database&amp;".xls)",IF(OR($C121&lt;&gt;"S",ORÇAMENTO.CodBarra=""),"(Sem Código)",IF(ISERROR(MATCH($AE121,INDIRECT(ORÇAMENTO.BancoRef),0)),"(Código não identificado nas referências)",MATCH($AE121,INDIRECT(ORÇAMENTO.BancoRef),0))))</f>
        <v>#VALUE!</v>
      </c>
      <c r="AG121" s="59" t="e">
        <f ca="1">ROUND(IF(DESONERACAO="sim",REFERENCIA.Desonerado,REFERENCIA.NaoDesonerado),2)</f>
        <v>#VALUE!</v>
      </c>
      <c r="AH121" s="60">
        <f t="shared" si="44"/>
        <v>0.2223</v>
      </c>
      <c r="AJ121" s="61">
        <v>14</v>
      </c>
      <c r="AL121" s="62"/>
      <c r="AM121" s="63" t="e">
        <f t="shared" ca="1" si="0"/>
        <v>#VALUE!</v>
      </c>
      <c r="AN121" s="64" t="e">
        <f t="shared" ca="1" si="45"/>
        <v>#VALUE!</v>
      </c>
    </row>
    <row r="122" spans="1:40" ht="38.25" x14ac:dyDescent="0.2">
      <c r="A122" t="str">
        <f t="shared" si="41"/>
        <v>S</v>
      </c>
      <c r="B122">
        <f t="shared" ca="1" si="46"/>
        <v>3</v>
      </c>
      <c r="C122" t="str">
        <f t="shared" ca="1" si="47"/>
        <v>S</v>
      </c>
      <c r="D122">
        <f t="shared" ca="1" si="48"/>
        <v>0</v>
      </c>
      <c r="E122" t="e">
        <f ca="1">IF($C122=1,OFFSET(E122,-1,0)+MAX(1,COUNTIF([1]QCI!$A$13:$A$24,OFFSET('PLANILHA A LICITAR'!E122,-1,0))),OFFSET(E122,-1,0))</f>
        <v>#VALUE!</v>
      </c>
      <c r="F122">
        <f t="shared" ca="1" si="49"/>
        <v>2</v>
      </c>
      <c r="G122">
        <f t="shared" ca="1" si="50"/>
        <v>8</v>
      </c>
      <c r="H122">
        <f t="shared" ca="1" si="51"/>
        <v>0</v>
      </c>
      <c r="I122" t="e">
        <f t="shared" ca="1" si="52"/>
        <v>#VALUE!</v>
      </c>
      <c r="J122">
        <f t="shared" ca="1" si="59"/>
        <v>0</v>
      </c>
      <c r="K122">
        <f ca="1">IF(OR($C122="S",$C122=0),0,MATCH(OFFSET($D122,0,$C122)+IF($C122&lt;&gt;1,1,COUNTIF([1]QCI!$A$13:$A$24,'PLANILHA A LICITAR'!E122)),OFFSET($D122,1,$C122,ROW($C$145)-ROW($C122)),0))</f>
        <v>0</v>
      </c>
      <c r="L122" s="42" t="e">
        <f t="shared" ca="1" si="53"/>
        <v>#VALUE!</v>
      </c>
      <c r="M122" s="43" t="s">
        <v>7</v>
      </c>
      <c r="N122" s="44" t="str">
        <f t="shared" ca="1" si="54"/>
        <v>Serviço</v>
      </c>
      <c r="O122" s="45" t="e">
        <f t="shared" ca="1" si="55"/>
        <v>#VALUE!</v>
      </c>
      <c r="P122" s="46" t="s">
        <v>62</v>
      </c>
      <c r="Q122" s="47">
        <v>89362</v>
      </c>
      <c r="R122" s="48" t="s">
        <v>204</v>
      </c>
      <c r="S122" s="49" t="s">
        <v>85</v>
      </c>
      <c r="T122" s="50" t="e">
        <f ca="1">OFFSET([1]CÁLCULO!H$15,ROW($T122)-ROW(T$15),0)</f>
        <v>#VALUE!</v>
      </c>
      <c r="U122" s="51" t="e">
        <f t="shared" ca="1" si="61"/>
        <v>#VALUE!</v>
      </c>
      <c r="V122" s="52" t="s">
        <v>10</v>
      </c>
      <c r="W122" s="50" t="e">
        <f ca="1">IF($C122="S",ROUND(IF(TIPOORCAMENTO="Proposto",ORÇAMENTO.CustoUnitario*(1+$AH122),ORÇAMENTO.PrecoUnitarioLicitado),15-13*$AF$10),0)</f>
        <v>#VALUE!</v>
      </c>
      <c r="X122" s="53" t="e">
        <f t="shared" ca="1" si="42"/>
        <v>#VALUE!</v>
      </c>
      <c r="Y122" s="54" t="s">
        <v>63</v>
      </c>
      <c r="Z122" t="e">
        <f t="shared" ca="1" si="56"/>
        <v>#VALUE!</v>
      </c>
      <c r="AA122" s="55" t="e">
        <f ca="1">IF($C122="S",IF($Z122="CP",$X122,IF($Z122="RA",(($X122)*[1]QCI!$AA$3),0)),SomaAgrup)</f>
        <v>#VALUE!</v>
      </c>
      <c r="AB122" s="56" t="e">
        <f t="shared" ca="1" si="43"/>
        <v>#VALUE!</v>
      </c>
      <c r="AC122" s="57" t="e">
        <f ca="1">IF($N122="","",IF(ORÇAMENTO.Descricao="","DESCRIÇÃO",IF(AND($C122="S",ORÇAMENTO.Unidade=""),"UNIDADE",IF($X122&lt;0,"VALOR NEGATIVO",IF(OR(AND(TIPOORCAMENTO="Proposto",$AG122&lt;&gt;"",$AG122&gt;0,ORÇAMENTO.CustoUnitario&gt;$AG122),AND(TIPOORCAMENTO="LICITADO",ORÇAMENTO.PrecoUnitarioLicitado&gt;$AN122)),"ACIMA REF.","")))))</f>
        <v>#VALUE!</v>
      </c>
      <c r="AD122" t="str">
        <f ca="1">IF(C122&lt;=CRONO.NivelExibicao,MAX($AD$15:OFFSET(AD122,-1,0))+IF($C122&lt;&gt;1,1,MAX(1,COUNTIF([1]QCI!$A$13:$A$24,OFFSET($E122,-1,0)))),"")</f>
        <v/>
      </c>
      <c r="AE122" s="4" t="str">
        <f ca="1">IF(AND($C122="S",ORÇAMENTO.CodBarra&lt;&gt;""),IF(ORÇAMENTO.Fonte="",ORÇAMENTO.CodBarra,CONCATENATE(ORÇAMENTO.Fonte," ",ORÇAMENTO.CodBarra)))</f>
        <v>SINAPI 89362</v>
      </c>
      <c r="AF122" s="58" t="e">
        <f ca="1">IF(ISERROR(INDIRECT(ORÇAMENTO.BancoRef)),"(abra o arquivo 'Referência "&amp;Excel_BuiltIn_Database&amp;".xls)",IF(OR($C122&lt;&gt;"S",ORÇAMENTO.CodBarra=""),"(Sem Código)",IF(ISERROR(MATCH($AE122,INDIRECT(ORÇAMENTO.BancoRef),0)),"(Código não identificado nas referências)",MATCH($AE122,INDIRECT(ORÇAMENTO.BancoRef),0))))</f>
        <v>#VALUE!</v>
      </c>
      <c r="AG122" s="59" t="e">
        <f ca="1">ROUND(IF(DESONERACAO="sim",REFERENCIA.Desonerado,REFERENCIA.NaoDesonerado),2)</f>
        <v>#VALUE!</v>
      </c>
      <c r="AH122" s="60">
        <f t="shared" si="44"/>
        <v>0.2223</v>
      </c>
      <c r="AJ122" s="61">
        <v>5</v>
      </c>
      <c r="AL122" s="62"/>
      <c r="AM122" s="63" t="e">
        <f t="shared" ca="1" si="0"/>
        <v>#VALUE!</v>
      </c>
      <c r="AN122" s="64" t="e">
        <f t="shared" ca="1" si="45"/>
        <v>#VALUE!</v>
      </c>
    </row>
    <row r="123" spans="1:40" ht="38.25" x14ac:dyDescent="0.2">
      <c r="A123" t="str">
        <f t="shared" si="41"/>
        <v>S</v>
      </c>
      <c r="B123">
        <f t="shared" ca="1" si="46"/>
        <v>3</v>
      </c>
      <c r="C123" t="str">
        <f t="shared" ca="1" si="47"/>
        <v>S</v>
      </c>
      <c r="D123">
        <f t="shared" ca="1" si="48"/>
        <v>0</v>
      </c>
      <c r="E123" t="e">
        <f ca="1">IF($C123=1,OFFSET(E123,-1,0)+MAX(1,COUNTIF([1]QCI!$A$13:$A$24,OFFSET('PLANILHA A LICITAR'!E123,-1,0))),OFFSET(E123,-1,0))</f>
        <v>#VALUE!</v>
      </c>
      <c r="F123">
        <f t="shared" ca="1" si="49"/>
        <v>2</v>
      </c>
      <c r="G123">
        <f t="shared" ca="1" si="50"/>
        <v>8</v>
      </c>
      <c r="H123">
        <f t="shared" ca="1" si="51"/>
        <v>0</v>
      </c>
      <c r="I123" t="e">
        <f t="shared" ca="1" si="52"/>
        <v>#VALUE!</v>
      </c>
      <c r="J123">
        <f t="shared" ca="1" si="59"/>
        <v>0</v>
      </c>
      <c r="K123">
        <f ca="1">IF(OR($C123="S",$C123=0),0,MATCH(OFFSET($D123,0,$C123)+IF($C123&lt;&gt;1,1,COUNTIF([1]QCI!$A$13:$A$24,'PLANILHA A LICITAR'!E123)),OFFSET($D123,1,$C123,ROW($C$145)-ROW($C123)),0))</f>
        <v>0</v>
      </c>
      <c r="L123" s="42" t="e">
        <f t="shared" ca="1" si="53"/>
        <v>#VALUE!</v>
      </c>
      <c r="M123" s="43" t="s">
        <v>7</v>
      </c>
      <c r="N123" s="44" t="str">
        <f t="shared" ca="1" si="54"/>
        <v>Serviço</v>
      </c>
      <c r="O123" s="45" t="e">
        <f t="shared" ca="1" si="55"/>
        <v>#VALUE!</v>
      </c>
      <c r="P123" s="46" t="s">
        <v>62</v>
      </c>
      <c r="Q123" s="47">
        <v>89425</v>
      </c>
      <c r="R123" s="48" t="s">
        <v>205</v>
      </c>
      <c r="S123" s="49" t="s">
        <v>85</v>
      </c>
      <c r="T123" s="50" t="e">
        <f ca="1">OFFSET([1]CÁLCULO!H$15,ROW($T123)-ROW(T$15),0)</f>
        <v>#VALUE!</v>
      </c>
      <c r="U123" s="51" t="e">
        <f t="shared" ca="1" si="61"/>
        <v>#VALUE!</v>
      </c>
      <c r="V123" s="52" t="s">
        <v>10</v>
      </c>
      <c r="W123" s="50" t="e">
        <f ca="1">IF($C123="S",ROUND(IF(TIPOORCAMENTO="Proposto",ORÇAMENTO.CustoUnitario*(1+$AH123),ORÇAMENTO.PrecoUnitarioLicitado),15-13*$AF$10),0)</f>
        <v>#VALUE!</v>
      </c>
      <c r="X123" s="53" t="e">
        <f t="shared" ca="1" si="42"/>
        <v>#VALUE!</v>
      </c>
      <c r="Y123" s="54" t="s">
        <v>63</v>
      </c>
      <c r="Z123" t="e">
        <f t="shared" ca="1" si="56"/>
        <v>#VALUE!</v>
      </c>
      <c r="AA123" s="55" t="e">
        <f ca="1">IF($C123="S",IF($Z123="CP",$X123,IF($Z123="RA",(($X123)*[1]QCI!$AA$3),0)),SomaAgrup)</f>
        <v>#VALUE!</v>
      </c>
      <c r="AB123" s="56" t="e">
        <f t="shared" ca="1" si="43"/>
        <v>#VALUE!</v>
      </c>
      <c r="AC123" s="57" t="e">
        <f ca="1">IF($N123="","",IF(ORÇAMENTO.Descricao="","DESCRIÇÃO",IF(AND($C123="S",ORÇAMENTO.Unidade=""),"UNIDADE",IF($X123&lt;0,"VALOR NEGATIVO",IF(OR(AND(TIPOORCAMENTO="Proposto",$AG123&lt;&gt;"",$AG123&gt;0,ORÇAMENTO.CustoUnitario&gt;$AG123),AND(TIPOORCAMENTO="LICITADO",ORÇAMENTO.PrecoUnitarioLicitado&gt;$AN123)),"ACIMA REF.","")))))</f>
        <v>#VALUE!</v>
      </c>
      <c r="AD123" t="str">
        <f ca="1">IF(C123&lt;=CRONO.NivelExibicao,MAX($AD$15:OFFSET(AD123,-1,0))+IF($C123&lt;&gt;1,1,MAX(1,COUNTIF([1]QCI!$A$13:$A$24,OFFSET($E123,-1,0)))),"")</f>
        <v/>
      </c>
      <c r="AE123" s="4" t="str">
        <f ca="1">IF(AND($C123="S",ORÇAMENTO.CodBarra&lt;&gt;""),IF(ORÇAMENTO.Fonte="",ORÇAMENTO.CodBarra,CONCATENATE(ORÇAMENTO.Fonte," ",ORÇAMENTO.CodBarra)))</f>
        <v>SINAPI 89425</v>
      </c>
      <c r="AF123" s="58" t="e">
        <f ca="1">IF(ISERROR(INDIRECT(ORÇAMENTO.BancoRef)),"(abra o arquivo 'Referência "&amp;Excel_BuiltIn_Database&amp;".xls)",IF(OR($C123&lt;&gt;"S",ORÇAMENTO.CodBarra=""),"(Sem Código)",IF(ISERROR(MATCH($AE123,INDIRECT(ORÇAMENTO.BancoRef),0)),"(Código não identificado nas referências)",MATCH($AE123,INDIRECT(ORÇAMENTO.BancoRef),0))))</f>
        <v>#VALUE!</v>
      </c>
      <c r="AG123" s="59" t="e">
        <f ca="1">ROUND(IF(DESONERACAO="sim",REFERENCIA.Desonerado,REFERENCIA.NaoDesonerado),2)</f>
        <v>#VALUE!</v>
      </c>
      <c r="AH123" s="60">
        <f t="shared" si="44"/>
        <v>0.2223</v>
      </c>
      <c r="AJ123" s="61">
        <v>10</v>
      </c>
      <c r="AL123" s="62"/>
      <c r="AM123" s="63" t="e">
        <f t="shared" ca="1" si="0"/>
        <v>#VALUE!</v>
      </c>
      <c r="AN123" s="64" t="e">
        <f t="shared" ca="1" si="45"/>
        <v>#VALUE!</v>
      </c>
    </row>
    <row r="124" spans="1:40" ht="25.5" x14ac:dyDescent="0.2">
      <c r="A124" t="str">
        <f t="shared" si="41"/>
        <v>S</v>
      </c>
      <c r="B124">
        <f t="shared" ca="1" si="46"/>
        <v>3</v>
      </c>
      <c r="C124" t="str">
        <f t="shared" ca="1" si="47"/>
        <v>S</v>
      </c>
      <c r="D124">
        <f t="shared" ca="1" si="48"/>
        <v>0</v>
      </c>
      <c r="E124" t="e">
        <f ca="1">IF($C124=1,OFFSET(E124,-1,0)+MAX(1,COUNTIF([1]QCI!$A$13:$A$24,OFFSET('PLANILHA A LICITAR'!E124,-1,0))),OFFSET(E124,-1,0))</f>
        <v>#VALUE!</v>
      </c>
      <c r="F124">
        <f t="shared" ca="1" si="49"/>
        <v>2</v>
      </c>
      <c r="G124">
        <f t="shared" ca="1" si="50"/>
        <v>8</v>
      </c>
      <c r="H124">
        <f t="shared" ca="1" si="51"/>
        <v>0</v>
      </c>
      <c r="I124" t="e">
        <f t="shared" ca="1" si="52"/>
        <v>#VALUE!</v>
      </c>
      <c r="J124">
        <f t="shared" ca="1" si="59"/>
        <v>0</v>
      </c>
      <c r="K124">
        <f ca="1">IF(OR($C124="S",$C124=0),0,MATCH(OFFSET($D124,0,$C124)+IF($C124&lt;&gt;1,1,COUNTIF([1]QCI!$A$13:$A$24,'PLANILHA A LICITAR'!E124)),OFFSET($D124,1,$C124,ROW($C$145)-ROW($C124)),0))</f>
        <v>0</v>
      </c>
      <c r="L124" s="42" t="e">
        <f t="shared" ca="1" si="53"/>
        <v>#VALUE!</v>
      </c>
      <c r="M124" s="43" t="s">
        <v>7</v>
      </c>
      <c r="N124" s="44" t="str">
        <f t="shared" ca="1" si="54"/>
        <v>Serviço</v>
      </c>
      <c r="O124" s="45" t="e">
        <f t="shared" ca="1" si="55"/>
        <v>#VALUE!</v>
      </c>
      <c r="P124" s="46" t="s">
        <v>62</v>
      </c>
      <c r="Q124" s="47">
        <v>89353</v>
      </c>
      <c r="R124" s="48" t="s">
        <v>206</v>
      </c>
      <c r="S124" s="49" t="s">
        <v>85</v>
      </c>
      <c r="T124" s="50" t="e">
        <f ca="1">OFFSET([1]CÁLCULO!H$15,ROW($T124)-ROW(T$15),0)</f>
        <v>#VALUE!</v>
      </c>
      <c r="U124" s="51" t="e">
        <f t="shared" ca="1" si="61"/>
        <v>#VALUE!</v>
      </c>
      <c r="V124" s="52" t="s">
        <v>10</v>
      </c>
      <c r="W124" s="50" t="e">
        <f ca="1">IF($C124="S",ROUND(IF(TIPOORCAMENTO="Proposto",ORÇAMENTO.CustoUnitario*(1+$AH124),ORÇAMENTO.PrecoUnitarioLicitado),15-13*$AF$10),0)</f>
        <v>#VALUE!</v>
      </c>
      <c r="X124" s="53" t="e">
        <f t="shared" ca="1" si="42"/>
        <v>#VALUE!</v>
      </c>
      <c r="Y124" s="54" t="s">
        <v>63</v>
      </c>
      <c r="Z124" t="e">
        <f t="shared" ca="1" si="56"/>
        <v>#VALUE!</v>
      </c>
      <c r="AA124" s="55" t="e">
        <f ca="1">IF($C124="S",IF($Z124="CP",$X124,IF($Z124="RA",(($X124)*[1]QCI!$AA$3),0)),SomaAgrup)</f>
        <v>#VALUE!</v>
      </c>
      <c r="AB124" s="56" t="e">
        <f t="shared" ca="1" si="43"/>
        <v>#VALUE!</v>
      </c>
      <c r="AC124" s="57" t="e">
        <f ca="1">IF($N124="","",IF(ORÇAMENTO.Descricao="","DESCRIÇÃO",IF(AND($C124="S",ORÇAMENTO.Unidade=""),"UNIDADE",IF($X124&lt;0,"VALOR NEGATIVO",IF(OR(AND(TIPOORCAMENTO="Proposto",$AG124&lt;&gt;"",$AG124&gt;0,ORÇAMENTO.CustoUnitario&gt;$AG124),AND(TIPOORCAMENTO="LICITADO",ORÇAMENTO.PrecoUnitarioLicitado&gt;$AN124)),"ACIMA REF.","")))))</f>
        <v>#VALUE!</v>
      </c>
      <c r="AD124" t="str">
        <f ca="1">IF(C124&lt;=CRONO.NivelExibicao,MAX($AD$15:OFFSET(AD124,-1,0))+IF($C124&lt;&gt;1,1,MAX(1,COUNTIF([1]QCI!$A$13:$A$24,OFFSET($E124,-1,0)))),"")</f>
        <v/>
      </c>
      <c r="AE124" s="4" t="str">
        <f ca="1">IF(AND($C124="S",ORÇAMENTO.CodBarra&lt;&gt;""),IF(ORÇAMENTO.Fonte="",ORÇAMENTO.CodBarra,CONCATENATE(ORÇAMENTO.Fonte," ",ORÇAMENTO.CodBarra)))</f>
        <v>SINAPI 89353</v>
      </c>
      <c r="AF124" s="58" t="e">
        <f ca="1">IF(ISERROR(INDIRECT(ORÇAMENTO.BancoRef)),"(abra o arquivo 'Referência "&amp;Excel_BuiltIn_Database&amp;".xls)",IF(OR($C124&lt;&gt;"S",ORÇAMENTO.CodBarra=""),"(Sem Código)",IF(ISERROR(MATCH($AE124,INDIRECT(ORÇAMENTO.BancoRef),0)),"(Código não identificado nas referências)",MATCH($AE124,INDIRECT(ORÇAMENTO.BancoRef),0))))</f>
        <v>#VALUE!</v>
      </c>
      <c r="AG124" s="59" t="e">
        <f ca="1">ROUND(IF(DESONERACAO="sim",REFERENCIA.Desonerado,REFERENCIA.NaoDesonerado),2)</f>
        <v>#VALUE!</v>
      </c>
      <c r="AH124" s="60">
        <f t="shared" si="44"/>
        <v>0.2223</v>
      </c>
      <c r="AJ124" s="61">
        <v>7</v>
      </c>
      <c r="AL124" s="62"/>
      <c r="AM124" s="63" t="e">
        <f t="shared" ca="1" si="0"/>
        <v>#VALUE!</v>
      </c>
      <c r="AN124" s="64" t="e">
        <f t="shared" ca="1" si="45"/>
        <v>#VALUE!</v>
      </c>
    </row>
    <row r="125" spans="1:40" ht="38.25" x14ac:dyDescent="0.2">
      <c r="A125" t="str">
        <f t="shared" si="41"/>
        <v>S</v>
      </c>
      <c r="B125">
        <f t="shared" ca="1" si="46"/>
        <v>3</v>
      </c>
      <c r="C125" t="str">
        <f t="shared" ca="1" si="47"/>
        <v>S</v>
      </c>
      <c r="D125">
        <f t="shared" ca="1" si="48"/>
        <v>0</v>
      </c>
      <c r="E125" t="e">
        <f ca="1">IF($C125=1,OFFSET(E125,-1,0)+MAX(1,COUNTIF([1]QCI!$A$13:$A$24,OFFSET('PLANILHA A LICITAR'!E125,-1,0))),OFFSET(E125,-1,0))</f>
        <v>#VALUE!</v>
      </c>
      <c r="F125">
        <f t="shared" ca="1" si="49"/>
        <v>2</v>
      </c>
      <c r="G125">
        <f t="shared" ca="1" si="50"/>
        <v>8</v>
      </c>
      <c r="H125">
        <f t="shared" ca="1" si="51"/>
        <v>0</v>
      </c>
      <c r="I125" t="e">
        <f t="shared" ca="1" si="52"/>
        <v>#VALUE!</v>
      </c>
      <c r="J125">
        <f t="shared" ca="1" si="59"/>
        <v>0</v>
      </c>
      <c r="K125">
        <f ca="1">IF(OR($C125="S",$C125=0),0,MATCH(OFFSET($D125,0,$C125)+IF($C125&lt;&gt;1,1,COUNTIF([1]QCI!$A$13:$A$24,'PLANILHA A LICITAR'!E125)),OFFSET($D125,1,$C125,ROW($C$145)-ROW($C125)),0))</f>
        <v>0</v>
      </c>
      <c r="L125" s="42" t="e">
        <f t="shared" ca="1" si="53"/>
        <v>#VALUE!</v>
      </c>
      <c r="M125" s="43" t="s">
        <v>7</v>
      </c>
      <c r="N125" s="44" t="str">
        <f t="shared" ca="1" si="54"/>
        <v>Serviço</v>
      </c>
      <c r="O125" s="45" t="e">
        <f t="shared" ca="1" si="55"/>
        <v>#VALUE!</v>
      </c>
      <c r="P125" s="46" t="s">
        <v>62</v>
      </c>
      <c r="Q125" s="47">
        <v>89985</v>
      </c>
      <c r="R125" s="48" t="s">
        <v>207</v>
      </c>
      <c r="S125" s="49" t="s">
        <v>85</v>
      </c>
      <c r="T125" s="50" t="e">
        <f ca="1">OFFSET([1]CÁLCULO!H$15,ROW($T125)-ROW(T$15),0)</f>
        <v>#VALUE!</v>
      </c>
      <c r="U125" s="51" t="e">
        <f t="shared" ca="1" si="61"/>
        <v>#VALUE!</v>
      </c>
      <c r="V125" s="52" t="s">
        <v>10</v>
      </c>
      <c r="W125" s="50" t="e">
        <f ca="1">IF($C125="S",ROUND(IF(TIPOORCAMENTO="Proposto",ORÇAMENTO.CustoUnitario*(1+$AH125),ORÇAMENTO.PrecoUnitarioLicitado),15-13*$AF$10),0)</f>
        <v>#VALUE!</v>
      </c>
      <c r="X125" s="53" t="e">
        <f t="shared" ca="1" si="42"/>
        <v>#VALUE!</v>
      </c>
      <c r="Y125" s="54" t="s">
        <v>63</v>
      </c>
      <c r="Z125" t="e">
        <f t="shared" ca="1" si="56"/>
        <v>#VALUE!</v>
      </c>
      <c r="AA125" s="55" t="e">
        <f ca="1">IF($C125="S",IF($Z125="CP",$X125,IF($Z125="RA",(($X125)*[1]QCI!$AA$3),0)),SomaAgrup)</f>
        <v>#VALUE!</v>
      </c>
      <c r="AB125" s="56" t="e">
        <f t="shared" ca="1" si="43"/>
        <v>#VALUE!</v>
      </c>
      <c r="AC125" s="57" t="e">
        <f ca="1">IF($N125="","",IF(ORÇAMENTO.Descricao="","DESCRIÇÃO",IF(AND($C125="S",ORÇAMENTO.Unidade=""),"UNIDADE",IF($X125&lt;0,"VALOR NEGATIVO",IF(OR(AND(TIPOORCAMENTO="Proposto",$AG125&lt;&gt;"",$AG125&gt;0,ORÇAMENTO.CustoUnitario&gt;$AG125),AND(TIPOORCAMENTO="LICITADO",ORÇAMENTO.PrecoUnitarioLicitado&gt;$AN125)),"ACIMA REF.","")))))</f>
        <v>#VALUE!</v>
      </c>
      <c r="AD125" t="str">
        <f ca="1">IF(C125&lt;=CRONO.NivelExibicao,MAX($AD$15:OFFSET(AD125,-1,0))+IF($C125&lt;&gt;1,1,MAX(1,COUNTIF([1]QCI!$A$13:$A$24,OFFSET($E125,-1,0)))),"")</f>
        <v/>
      </c>
      <c r="AE125" s="4" t="str">
        <f ca="1">IF(AND($C125="S",ORÇAMENTO.CodBarra&lt;&gt;""),IF(ORÇAMENTO.Fonte="",ORÇAMENTO.CodBarra,CONCATENATE(ORÇAMENTO.Fonte," ",ORÇAMENTO.CodBarra)))</f>
        <v>SINAPI 89985</v>
      </c>
      <c r="AF125" s="58" t="e">
        <f ca="1">IF(ISERROR(INDIRECT(ORÇAMENTO.BancoRef)),"(abra o arquivo 'Referência "&amp;Excel_BuiltIn_Database&amp;".xls)",IF(OR($C125&lt;&gt;"S",ORÇAMENTO.CodBarra=""),"(Sem Código)",IF(ISERROR(MATCH($AE125,INDIRECT(ORÇAMENTO.BancoRef),0)),"(Código não identificado nas referências)",MATCH($AE125,INDIRECT(ORÇAMENTO.BancoRef),0))))</f>
        <v>#VALUE!</v>
      </c>
      <c r="AG125" s="59" t="e">
        <f ca="1">ROUND(IF(DESONERACAO="sim",REFERENCIA.Desonerado,REFERENCIA.NaoDesonerado),2)</f>
        <v>#VALUE!</v>
      </c>
      <c r="AH125" s="60">
        <f t="shared" si="44"/>
        <v>0.2223</v>
      </c>
      <c r="AJ125" s="61">
        <v>1</v>
      </c>
      <c r="AL125" s="62"/>
      <c r="AM125" s="63" t="e">
        <f t="shared" ca="1" si="0"/>
        <v>#VALUE!</v>
      </c>
      <c r="AN125" s="64" t="e">
        <f t="shared" ca="1" si="45"/>
        <v>#VALUE!</v>
      </c>
    </row>
    <row r="126" spans="1:40" ht="63.75" x14ac:dyDescent="0.2">
      <c r="A126" t="str">
        <f t="shared" ref="A126:A130" si="62">CHOOSE(1+LOG(1+2*(ORÇAMENTO.Nivel="Meta")+4*(ORÇAMENTO.Nivel="Nível 2")+8*(ORÇAMENTO.Nivel="Nível 3")+16*(ORÇAMENTO.Nivel="Nível 4")+32*(ORÇAMENTO.Nivel="Serviço"),2),0,1,2,3,4,"S")</f>
        <v>S</v>
      </c>
      <c r="B126">
        <f ca="1">IF(OR(C126="s",C126=0),OFFSET(B126,-1,0),C126)</f>
        <v>3</v>
      </c>
      <c r="C126" t="str">
        <f ca="1">IF(OFFSET(C126,-1,0)="L",1,IF(OFFSET(C126,-1,0)=1,2,IF(OR(A126="s",A126=0),"S",IF(AND(OFFSET(C126,-1,0)=2,A126=4),3,IF(AND(OR(OFFSET(C126,-1,0)="s",OFFSET(C126,-1,0)=0),A126&lt;&gt;"s",A126&gt;OFFSET(B126,-1,0)),OFFSET(B126,-1,0),A126)))))</f>
        <v>S</v>
      </c>
      <c r="D126">
        <f ca="1">IF(OR(C126="S",C126=0),0,IF(ISERROR(K126),J126,SMALL(J126:K126,1)))</f>
        <v>0</v>
      </c>
      <c r="E126" t="e">
        <f ca="1">IF($C126=1,OFFSET(E126,-1,0)+MAX(1,COUNTIF([1]QCI!$A$13:$A$24,OFFSET('PLANILHA A LICITAR'!E126,-1,0))),OFFSET(E126,-1,0))</f>
        <v>#VALUE!</v>
      </c>
      <c r="F126">
        <f ca="1">IF($C126=1,0,IF($C126=2,OFFSET(F126,-1,0)+1,OFFSET(F126,-1,0)))</f>
        <v>2</v>
      </c>
      <c r="G126">
        <f ca="1">IF(AND($C126&lt;=2,$C126&lt;&gt;0),0,IF($C126=3,OFFSET(G126,-1,0)+1,OFFSET(G126,-1,0)))</f>
        <v>8</v>
      </c>
      <c r="H126">
        <f ca="1">IF(AND($C126&lt;=3,$C126&lt;&gt;0),0,IF($C126=4,OFFSET(H126,-1,0)+1,OFFSET(H126,-1,0)))</f>
        <v>0</v>
      </c>
      <c r="I126" t="e">
        <f ca="1">IF(AND($C126&lt;=4,$C126&lt;&gt;0),0,IF(AND($C126="S",$X126&gt;0),OFFSET(I126,-1,0)+1,OFFSET(I126,-1,0)))</f>
        <v>#VALUE!</v>
      </c>
      <c r="J126">
        <f t="shared" ca="1" si="59"/>
        <v>0</v>
      </c>
      <c r="K126">
        <f ca="1">IF(OR($C126="S",$C126=0),0,MATCH(OFFSET($D126,0,$C126)+IF($C126&lt;&gt;1,1,COUNTIF([1]QCI!$A$13:$A$24,'PLANILHA A LICITAR'!E126)),OFFSET($D126,1,$C126,ROW($C$145)-ROW($C126)),0))</f>
        <v>0</v>
      </c>
      <c r="L126" s="42" t="e">
        <f ca="1">IF(OR($X126&gt;0,$C126=1,$C126=2,$C126=3,$C126=4),"F","")</f>
        <v>#VALUE!</v>
      </c>
      <c r="M126" s="43" t="s">
        <v>7</v>
      </c>
      <c r="N126" s="44" t="str">
        <f ca="1">CHOOSE(1+LOG(1+2*(C126=1)+4*(C126=2)+8*(C126=3)+16*(C126=4)+32*(C126="S"),2),"","Meta","Nível 2","Nível 3","Nível 4","Serviço")</f>
        <v>Serviço</v>
      </c>
      <c r="O126" s="45" t="e">
        <f ca="1">IF(OR($C126=0,$L126=""),"-",CONCATENATE(E126&amp;".",IF(AND($A$5&gt;=2,$C126&gt;=2),F126&amp;".",""),IF(AND($A$5&gt;=3,$C126&gt;=3),G126&amp;".",""),IF(AND($A$5&gt;=4,$C126&gt;=4),H126&amp;".",""),IF($C126="S",I126&amp;".","")))</f>
        <v>#VALUE!</v>
      </c>
      <c r="P126" s="46" t="s">
        <v>62</v>
      </c>
      <c r="Q126" s="47">
        <v>91793</v>
      </c>
      <c r="R126" s="48" t="s">
        <v>208</v>
      </c>
      <c r="S126" s="49" t="s">
        <v>167</v>
      </c>
      <c r="T126" s="50" t="e">
        <f ca="1">OFFSET([1]CÁLCULO!H$15,ROW($T126)-ROW(T$15),0)</f>
        <v>#VALUE!</v>
      </c>
      <c r="U126" s="51" t="e">
        <f t="shared" ca="1" si="61"/>
        <v>#VALUE!</v>
      </c>
      <c r="V126" s="52" t="s">
        <v>10</v>
      </c>
      <c r="W126" s="50" t="e">
        <f ca="1">IF($C126="S",ROUND(IF(TIPOORCAMENTO="Proposto",ORÇAMENTO.CustoUnitario*(1+$AH126),ORÇAMENTO.PrecoUnitarioLicitado),15-13*$AF$10),0)</f>
        <v>#VALUE!</v>
      </c>
      <c r="X126" s="53" t="e">
        <f t="shared" ref="X126:X130" ca="1" si="63">IF($C126="S",VTOTAL1,IF($C126=0,0,ROUND(SomaAgrup,15-13*$AF$11)))</f>
        <v>#VALUE!</v>
      </c>
      <c r="Y126" s="54" t="s">
        <v>63</v>
      </c>
      <c r="Z126" t="e">
        <f ca="1">IF(AND($C126="S",$X126&gt;0),IF(ISBLANK($Y126),"RA",LEFT($Y126,2)),"")</f>
        <v>#VALUE!</v>
      </c>
      <c r="AA126" s="55" t="e">
        <f ca="1">IF($C126="S",IF($Z126="CP",$X126,IF($Z126="RA",(($X126)*[1]QCI!$AA$3),0)),SomaAgrup)</f>
        <v>#VALUE!</v>
      </c>
      <c r="AB126" s="56" t="e">
        <f t="shared" ref="AB126:AB130" ca="1" si="64">IF($C126="S",IF($Z126="OU",ROUND($X126,2),0),SomaAgrup)</f>
        <v>#VALUE!</v>
      </c>
      <c r="AC126" s="57" t="e">
        <f ca="1">IF($N126="","",IF(ORÇAMENTO.Descricao="","DESCRIÇÃO",IF(AND($C126="S",ORÇAMENTO.Unidade=""),"UNIDADE",IF($X126&lt;0,"VALOR NEGATIVO",IF(OR(AND(TIPOORCAMENTO="Proposto",$AG126&lt;&gt;"",$AG126&gt;0,ORÇAMENTO.CustoUnitario&gt;$AG126),AND(TIPOORCAMENTO="LICITADO",ORÇAMENTO.PrecoUnitarioLicitado&gt;$AN126)),"ACIMA REF.","")))))</f>
        <v>#VALUE!</v>
      </c>
      <c r="AD126" t="str">
        <f ca="1">IF(C126&lt;=CRONO.NivelExibicao,MAX($AD$15:OFFSET(AD126,-1,0))+IF($C126&lt;&gt;1,1,MAX(1,COUNTIF([1]QCI!$A$13:$A$24,OFFSET($E126,-1,0)))),"")</f>
        <v/>
      </c>
      <c r="AE126" s="4" t="str">
        <f ca="1">IF(AND($C126="S",ORÇAMENTO.CodBarra&lt;&gt;""),IF(ORÇAMENTO.Fonte="",ORÇAMENTO.CodBarra,CONCATENATE(ORÇAMENTO.Fonte," ",ORÇAMENTO.CodBarra)))</f>
        <v>SINAPI 91793</v>
      </c>
      <c r="AF126" s="58" t="e">
        <f ca="1">IF(ISERROR(INDIRECT(ORÇAMENTO.BancoRef)),"(abra o arquivo 'Referência "&amp;Excel_BuiltIn_Database&amp;".xls)",IF(OR($C126&lt;&gt;"S",ORÇAMENTO.CodBarra=""),"(Sem Código)",IF(ISERROR(MATCH($AE126,INDIRECT(ORÇAMENTO.BancoRef),0)),"(Código não identificado nas referências)",MATCH($AE126,INDIRECT(ORÇAMENTO.BancoRef),0))))</f>
        <v>#VALUE!</v>
      </c>
      <c r="AG126" s="59" t="e">
        <f ca="1">ROUND(IF(DESONERACAO="sim",REFERENCIA.Desonerado,REFERENCIA.NaoDesonerado),2)</f>
        <v>#VALUE!</v>
      </c>
      <c r="AH126" s="60">
        <f t="shared" ref="AH126:AH130" si="65">ROUND(IF(ISNUMBER(ORÇAMENTO.OpcaoBDI),ORÇAMENTO.OpcaoBDI,IF(LEFT(ORÇAMENTO.OpcaoBDI,3)="BDI",HLOOKUP(ORÇAMENTO.OpcaoBDI,$F$4:$H$5,2,FALSE),0)),15-11*$AF$9)</f>
        <v>0.2223</v>
      </c>
      <c r="AJ126" s="61">
        <v>21.76</v>
      </c>
      <c r="AL126" s="62"/>
      <c r="AM126" s="63" t="e">
        <f t="shared" ca="1" si="0"/>
        <v>#VALUE!</v>
      </c>
      <c r="AN126" s="64" t="e">
        <f t="shared" ref="AN126:AN130" ca="1" si="66">ROUND(ORÇAMENTO.CustoUnitario*(1+$AH126),2)</f>
        <v>#VALUE!</v>
      </c>
    </row>
    <row r="127" spans="1:40" ht="63.75" x14ac:dyDescent="0.2">
      <c r="A127" t="str">
        <f t="shared" si="62"/>
        <v>S</v>
      </c>
      <c r="B127">
        <f t="shared" ref="B127:B130" ca="1" si="67">IF(OR(C127="s",C127=0),OFFSET(B127,-1,0),C127)</f>
        <v>3</v>
      </c>
      <c r="C127" t="str">
        <f t="shared" ref="C127:C130" ca="1" si="68">IF(OFFSET(C127,-1,0)="L",1,IF(OFFSET(C127,-1,0)=1,2,IF(OR(A127="s",A127=0),"S",IF(AND(OFFSET(C127,-1,0)=2,A127=4),3,IF(AND(OR(OFFSET(C127,-1,0)="s",OFFSET(C127,-1,0)=0),A127&lt;&gt;"s",A127&gt;OFFSET(B127,-1,0)),OFFSET(B127,-1,0),A127)))))</f>
        <v>S</v>
      </c>
      <c r="D127">
        <f t="shared" ref="D127:D130" ca="1" si="69">IF(OR(C127="S",C127=0),0,IF(ISERROR(K127),J127,SMALL(J127:K127,1)))</f>
        <v>0</v>
      </c>
      <c r="E127" t="e">
        <f ca="1">IF($C127=1,OFFSET(E127,-1,0)+MAX(1,COUNTIF([1]QCI!$A$13:$A$24,OFFSET('PLANILHA A LICITAR'!E127,-1,0))),OFFSET(E127,-1,0))</f>
        <v>#VALUE!</v>
      </c>
      <c r="F127">
        <f t="shared" ref="F127:F130" ca="1" si="70">IF($C127=1,0,IF($C127=2,OFFSET(F127,-1,0)+1,OFFSET(F127,-1,0)))</f>
        <v>2</v>
      </c>
      <c r="G127">
        <f t="shared" ref="G127:G130" ca="1" si="71">IF(AND($C127&lt;=2,$C127&lt;&gt;0),0,IF($C127=3,OFFSET(G127,-1,0)+1,OFFSET(G127,-1,0)))</f>
        <v>8</v>
      </c>
      <c r="H127">
        <f t="shared" ref="H127:H130" ca="1" si="72">IF(AND($C127&lt;=3,$C127&lt;&gt;0),0,IF($C127=4,OFFSET(H127,-1,0)+1,OFFSET(H127,-1,0)))</f>
        <v>0</v>
      </c>
      <c r="I127" t="e">
        <f t="shared" ref="I127:I130" ca="1" si="73">IF(AND($C127&lt;=4,$C127&lt;&gt;0),0,IF(AND($C127="S",$X127&gt;0),OFFSET(I127,-1,0)+1,OFFSET(I127,-1,0)))</f>
        <v>#VALUE!</v>
      </c>
      <c r="J127">
        <f t="shared" ca="1" si="59"/>
        <v>0</v>
      </c>
      <c r="K127">
        <f ca="1">IF(OR($C127="S",$C127=0),0,MATCH(OFFSET($D127,0,$C127)+IF($C127&lt;&gt;1,1,COUNTIF([1]QCI!$A$13:$A$24,'PLANILHA A LICITAR'!E127)),OFFSET($D127,1,$C127,ROW($C$145)-ROW($C127)),0))</f>
        <v>0</v>
      </c>
      <c r="L127" s="42" t="e">
        <f t="shared" ref="L127:L130" ca="1" si="74">IF(OR($X127&gt;0,$C127=1,$C127=2,$C127=3,$C127=4),"F","")</f>
        <v>#VALUE!</v>
      </c>
      <c r="M127" s="43" t="s">
        <v>7</v>
      </c>
      <c r="N127" s="44" t="str">
        <f t="shared" ref="N127:N130" ca="1" si="75">CHOOSE(1+LOG(1+2*(C127=1)+4*(C127=2)+8*(C127=3)+16*(C127=4)+32*(C127="S"),2),"","Meta","Nível 2","Nível 3","Nível 4","Serviço")</f>
        <v>Serviço</v>
      </c>
      <c r="O127" s="45" t="e">
        <f t="shared" ref="O127:O130" ca="1" si="76">IF(OR($C127=0,$L127=""),"-",CONCATENATE(E127&amp;".",IF(AND($A$5&gt;=2,$C127&gt;=2),F127&amp;".",""),IF(AND($A$5&gt;=3,$C127&gt;=3),G127&amp;".",""),IF(AND($A$5&gt;=4,$C127&gt;=4),H127&amp;".",""),IF($C127="S",I127&amp;".","")))</f>
        <v>#VALUE!</v>
      </c>
      <c r="P127" s="46" t="s">
        <v>62</v>
      </c>
      <c r="Q127" s="47">
        <v>91795</v>
      </c>
      <c r="R127" s="48" t="s">
        <v>209</v>
      </c>
      <c r="S127" s="49" t="s">
        <v>167</v>
      </c>
      <c r="T127" s="50" t="e">
        <f ca="1">OFFSET([1]CÁLCULO!H$15,ROW($T127)-ROW(T$15),0)</f>
        <v>#VALUE!</v>
      </c>
      <c r="U127" s="51" t="e">
        <f t="shared" ca="1" si="61"/>
        <v>#VALUE!</v>
      </c>
      <c r="V127" s="52" t="s">
        <v>10</v>
      </c>
      <c r="W127" s="50" t="e">
        <f ca="1">IF($C127="S",ROUND(IF(TIPOORCAMENTO="Proposto",ORÇAMENTO.CustoUnitario*(1+$AH127),ORÇAMENTO.PrecoUnitarioLicitado),15-13*$AF$10),0)</f>
        <v>#VALUE!</v>
      </c>
      <c r="X127" s="53" t="e">
        <f t="shared" ca="1" si="63"/>
        <v>#VALUE!</v>
      </c>
      <c r="Y127" s="54" t="s">
        <v>63</v>
      </c>
      <c r="Z127" t="e">
        <f t="shared" ref="Z127:Z130" ca="1" si="77">IF(AND($C127="S",$X127&gt;0),IF(ISBLANK($Y127),"RA",LEFT($Y127,2)),"")</f>
        <v>#VALUE!</v>
      </c>
      <c r="AA127" s="55" t="e">
        <f ca="1">IF($C127="S",IF($Z127="CP",$X127,IF($Z127="RA",(($X127)*[1]QCI!$AA$3),0)),SomaAgrup)</f>
        <v>#VALUE!</v>
      </c>
      <c r="AB127" s="56" t="e">
        <f t="shared" ca="1" si="64"/>
        <v>#VALUE!</v>
      </c>
      <c r="AC127" s="57" t="e">
        <f ca="1">IF($N127="","",IF(ORÇAMENTO.Descricao="","DESCRIÇÃO",IF(AND($C127="S",ORÇAMENTO.Unidade=""),"UNIDADE",IF($X127&lt;0,"VALOR NEGATIVO",IF(OR(AND(TIPOORCAMENTO="Proposto",$AG127&lt;&gt;"",$AG127&gt;0,ORÇAMENTO.CustoUnitario&gt;$AG127),AND(TIPOORCAMENTO="LICITADO",ORÇAMENTO.PrecoUnitarioLicitado&gt;$AN127)),"ACIMA REF.","")))))</f>
        <v>#VALUE!</v>
      </c>
      <c r="AD127" t="str">
        <f ca="1">IF(C127&lt;=CRONO.NivelExibicao,MAX($AD$15:OFFSET(AD127,-1,0))+IF($C127&lt;&gt;1,1,MAX(1,COUNTIF([1]QCI!$A$13:$A$24,OFFSET($E127,-1,0)))),"")</f>
        <v/>
      </c>
      <c r="AE127" s="4" t="str">
        <f ca="1">IF(AND($C127="S",ORÇAMENTO.CodBarra&lt;&gt;""),IF(ORÇAMENTO.Fonte="",ORÇAMENTO.CodBarra,CONCATENATE(ORÇAMENTO.Fonte," ",ORÇAMENTO.CodBarra)))</f>
        <v>SINAPI 91795</v>
      </c>
      <c r="AF127" s="58" t="e">
        <f ca="1">IF(ISERROR(INDIRECT(ORÇAMENTO.BancoRef)),"(abra o arquivo 'Referência "&amp;Excel_BuiltIn_Database&amp;".xls)",IF(OR($C127&lt;&gt;"S",ORÇAMENTO.CodBarra=""),"(Sem Código)",IF(ISERROR(MATCH($AE127,INDIRECT(ORÇAMENTO.BancoRef),0)),"(Código não identificado nas referências)",MATCH($AE127,INDIRECT(ORÇAMENTO.BancoRef),0))))</f>
        <v>#VALUE!</v>
      </c>
      <c r="AG127" s="59" t="e">
        <f ca="1">ROUND(IF(DESONERACAO="sim",REFERENCIA.Desonerado,REFERENCIA.NaoDesonerado),2)</f>
        <v>#VALUE!</v>
      </c>
      <c r="AH127" s="60">
        <f t="shared" si="65"/>
        <v>0.2223</v>
      </c>
      <c r="AJ127" s="61">
        <v>30.21</v>
      </c>
      <c r="AL127" s="62"/>
      <c r="AM127" s="63" t="e">
        <f t="shared" ca="1" si="0"/>
        <v>#VALUE!</v>
      </c>
      <c r="AN127" s="64" t="e">
        <f t="shared" ca="1" si="66"/>
        <v>#VALUE!</v>
      </c>
    </row>
    <row r="128" spans="1:40" ht="38.25" x14ac:dyDescent="0.2">
      <c r="A128" t="str">
        <f t="shared" si="62"/>
        <v>S</v>
      </c>
      <c r="B128">
        <f t="shared" ca="1" si="67"/>
        <v>3</v>
      </c>
      <c r="C128" t="str">
        <f t="shared" ca="1" si="68"/>
        <v>S</v>
      </c>
      <c r="D128">
        <f t="shared" ca="1" si="69"/>
        <v>0</v>
      </c>
      <c r="E128" t="e">
        <f ca="1">IF($C128=1,OFFSET(E128,-1,0)+MAX(1,COUNTIF([1]QCI!$A$13:$A$24,OFFSET('PLANILHA A LICITAR'!E128,-1,0))),OFFSET(E128,-1,0))</f>
        <v>#VALUE!</v>
      </c>
      <c r="F128">
        <f t="shared" ca="1" si="70"/>
        <v>2</v>
      </c>
      <c r="G128">
        <f t="shared" ca="1" si="71"/>
        <v>8</v>
      </c>
      <c r="H128">
        <f t="shared" ca="1" si="72"/>
        <v>0</v>
      </c>
      <c r="I128" t="e">
        <f t="shared" ca="1" si="73"/>
        <v>#VALUE!</v>
      </c>
      <c r="J128">
        <f t="shared" ca="1" si="59"/>
        <v>0</v>
      </c>
      <c r="K128">
        <f ca="1">IF(OR($C128="S",$C128=0),0,MATCH(OFFSET($D128,0,$C128)+IF($C128&lt;&gt;1,1,COUNTIF([1]QCI!$A$13:$A$24,'PLANILHA A LICITAR'!E128)),OFFSET($D128,1,$C128,ROW($C$145)-ROW($C128)),0))</f>
        <v>0</v>
      </c>
      <c r="L128" s="42" t="e">
        <f t="shared" ca="1" si="74"/>
        <v>#VALUE!</v>
      </c>
      <c r="M128" s="43" t="s">
        <v>7</v>
      </c>
      <c r="N128" s="44" t="str">
        <f t="shared" ca="1" si="75"/>
        <v>Serviço</v>
      </c>
      <c r="O128" s="45" t="e">
        <f t="shared" ca="1" si="76"/>
        <v>#VALUE!</v>
      </c>
      <c r="P128" s="46" t="s">
        <v>62</v>
      </c>
      <c r="Q128" s="47" t="s">
        <v>210</v>
      </c>
      <c r="R128" s="48" t="s">
        <v>211</v>
      </c>
      <c r="S128" s="49" t="s">
        <v>85</v>
      </c>
      <c r="T128" s="50" t="e">
        <f ca="1">OFFSET([1]CÁLCULO!H$15,ROW($T128)-ROW(T$15),0)</f>
        <v>#VALUE!</v>
      </c>
      <c r="U128" s="51" t="e">
        <f t="shared" ca="1" si="61"/>
        <v>#VALUE!</v>
      </c>
      <c r="V128" s="52" t="s">
        <v>10</v>
      </c>
      <c r="W128" s="50" t="e">
        <f ca="1">IF($C128="S",ROUND(IF(TIPOORCAMENTO="Proposto",ORÇAMENTO.CustoUnitario*(1+$AH128),ORÇAMENTO.PrecoUnitarioLicitado),15-13*$AF$10),0)</f>
        <v>#VALUE!</v>
      </c>
      <c r="X128" s="53" t="e">
        <f t="shared" ca="1" si="63"/>
        <v>#VALUE!</v>
      </c>
      <c r="Y128" s="54" t="s">
        <v>63</v>
      </c>
      <c r="Z128" t="e">
        <f t="shared" ca="1" si="77"/>
        <v>#VALUE!</v>
      </c>
      <c r="AA128" s="55" t="e">
        <f ca="1">IF($C128="S",IF($Z128="CP",$X128,IF($Z128="RA",(($X128)*[1]QCI!$AA$3),0)),SomaAgrup)</f>
        <v>#VALUE!</v>
      </c>
      <c r="AB128" s="56" t="e">
        <f t="shared" ca="1" si="64"/>
        <v>#VALUE!</v>
      </c>
      <c r="AC128" s="57" t="e">
        <f ca="1">IF($N128="","",IF(ORÇAMENTO.Descricao="","DESCRIÇÃO",IF(AND($C128="S",ORÇAMENTO.Unidade=""),"UNIDADE",IF($X128&lt;0,"VALOR NEGATIVO",IF(OR(AND(TIPOORCAMENTO="Proposto",$AG128&lt;&gt;"",$AG128&gt;0,ORÇAMENTO.CustoUnitario&gt;$AG128),AND(TIPOORCAMENTO="LICITADO",ORÇAMENTO.PrecoUnitarioLicitado&gt;$AN128)),"ACIMA REF.","")))))</f>
        <v>#VALUE!</v>
      </c>
      <c r="AD128" t="str">
        <f ca="1">IF(C128&lt;=CRONO.NivelExibicao,MAX($AD$15:OFFSET(AD128,-1,0))+IF($C128&lt;&gt;1,1,MAX(1,COUNTIF([1]QCI!$A$13:$A$24,OFFSET($E128,-1,0)))),"")</f>
        <v/>
      </c>
      <c r="AE128" s="4" t="str">
        <f ca="1">IF(AND($C128="S",ORÇAMENTO.CodBarra&lt;&gt;""),IF(ORÇAMENTO.Fonte="",ORÇAMENTO.CodBarra,CONCATENATE(ORÇAMENTO.Fonte," ",ORÇAMENTO.CodBarra)))</f>
        <v>SINAPI 89482</v>
      </c>
      <c r="AF128" s="58" t="e">
        <f ca="1">IF(ISERROR(INDIRECT(ORÇAMENTO.BancoRef)),"(abra o arquivo 'Referência "&amp;Excel_BuiltIn_Database&amp;".xls)",IF(OR($C128&lt;&gt;"S",ORÇAMENTO.CodBarra=""),"(Sem Código)",IF(ISERROR(MATCH($AE128,INDIRECT(ORÇAMENTO.BancoRef),0)),"(Código não identificado nas referências)",MATCH($AE128,INDIRECT(ORÇAMENTO.BancoRef),0))))</f>
        <v>#VALUE!</v>
      </c>
      <c r="AG128" s="59" t="e">
        <f ca="1">ROUND(IF(DESONERACAO="sim",REFERENCIA.Desonerado,REFERENCIA.NaoDesonerado),2)</f>
        <v>#VALUE!</v>
      </c>
      <c r="AH128" s="60">
        <f t="shared" si="65"/>
        <v>0.2223</v>
      </c>
      <c r="AJ128" s="61">
        <v>8</v>
      </c>
      <c r="AL128" s="62"/>
      <c r="AM128" s="63" t="e">
        <f t="shared" ca="1" si="0"/>
        <v>#VALUE!</v>
      </c>
      <c r="AN128" s="64" t="e">
        <f t="shared" ca="1" si="66"/>
        <v>#VALUE!</v>
      </c>
    </row>
    <row r="129" spans="1:40" ht="38.25" x14ac:dyDescent="0.2">
      <c r="A129" t="str">
        <f t="shared" si="62"/>
        <v>S</v>
      </c>
      <c r="B129">
        <f t="shared" ca="1" si="67"/>
        <v>3</v>
      </c>
      <c r="C129" t="str">
        <f t="shared" ca="1" si="68"/>
        <v>S</v>
      </c>
      <c r="D129">
        <f t="shared" ca="1" si="69"/>
        <v>0</v>
      </c>
      <c r="E129" t="e">
        <f ca="1">IF($C129=1,OFFSET(E129,-1,0)+MAX(1,COUNTIF([1]QCI!$A$13:$A$24,OFFSET('PLANILHA A LICITAR'!E129,-1,0))),OFFSET(E129,-1,0))</f>
        <v>#VALUE!</v>
      </c>
      <c r="F129">
        <f t="shared" ca="1" si="70"/>
        <v>2</v>
      </c>
      <c r="G129">
        <f t="shared" ca="1" si="71"/>
        <v>8</v>
      </c>
      <c r="H129">
        <f t="shared" ca="1" si="72"/>
        <v>0</v>
      </c>
      <c r="I129" t="e">
        <f t="shared" ca="1" si="73"/>
        <v>#VALUE!</v>
      </c>
      <c r="J129">
        <f t="shared" ca="1" si="59"/>
        <v>0</v>
      </c>
      <c r="K129">
        <f ca="1">IF(OR($C129="S",$C129=0),0,MATCH(OFFSET($D129,0,$C129)+IF($C129&lt;&gt;1,1,COUNTIF([1]QCI!$A$13:$A$24,'PLANILHA A LICITAR'!E129)),OFFSET($D129,1,$C129,ROW($C$145)-ROW($C129)),0))</f>
        <v>0</v>
      </c>
      <c r="L129" s="42" t="e">
        <f t="shared" ca="1" si="74"/>
        <v>#VALUE!</v>
      </c>
      <c r="M129" s="43" t="s">
        <v>7</v>
      </c>
      <c r="N129" s="44" t="str">
        <f t="shared" ca="1" si="75"/>
        <v>Serviço</v>
      </c>
      <c r="O129" s="45" t="e">
        <f t="shared" ca="1" si="76"/>
        <v>#VALUE!</v>
      </c>
      <c r="P129" s="46" t="s">
        <v>62</v>
      </c>
      <c r="Q129" s="47">
        <v>98052</v>
      </c>
      <c r="R129" s="48" t="s">
        <v>212</v>
      </c>
      <c r="S129" s="49" t="s">
        <v>85</v>
      </c>
      <c r="T129" s="50" t="e">
        <f ca="1">OFFSET([1]CÁLCULO!H$15,ROW($T129)-ROW(T$15),0)</f>
        <v>#VALUE!</v>
      </c>
      <c r="U129" s="51" t="e">
        <f t="shared" ca="1" si="61"/>
        <v>#VALUE!</v>
      </c>
      <c r="V129" s="52" t="s">
        <v>10</v>
      </c>
      <c r="W129" s="50" t="e">
        <f ca="1">IF($C129="S",ROUND(IF(TIPOORCAMENTO="Proposto",ORÇAMENTO.CustoUnitario*(1+$AH129),ORÇAMENTO.PrecoUnitarioLicitado),15-13*$AF$10),0)</f>
        <v>#VALUE!</v>
      </c>
      <c r="X129" s="53" t="e">
        <f t="shared" ca="1" si="63"/>
        <v>#VALUE!</v>
      </c>
      <c r="Y129" s="54" t="s">
        <v>63</v>
      </c>
      <c r="Z129" t="e">
        <f t="shared" ca="1" si="77"/>
        <v>#VALUE!</v>
      </c>
      <c r="AA129" s="55" t="e">
        <f ca="1">IF($C129="S",IF($Z129="CP",$X129,IF($Z129="RA",(($X129)*[1]QCI!$AA$3),0)),SomaAgrup)</f>
        <v>#VALUE!</v>
      </c>
      <c r="AB129" s="56" t="e">
        <f t="shared" ca="1" si="64"/>
        <v>#VALUE!</v>
      </c>
      <c r="AC129" s="57" t="e">
        <f ca="1">IF($N129="","",IF(ORÇAMENTO.Descricao="","DESCRIÇÃO",IF(AND($C129="S",ORÇAMENTO.Unidade=""),"UNIDADE",IF($X129&lt;0,"VALOR NEGATIVO",IF(OR(AND(TIPOORCAMENTO="Proposto",$AG129&lt;&gt;"",$AG129&gt;0,ORÇAMENTO.CustoUnitario&gt;$AG129),AND(TIPOORCAMENTO="LICITADO",ORÇAMENTO.PrecoUnitarioLicitado&gt;$AN129)),"ACIMA REF.","")))))</f>
        <v>#VALUE!</v>
      </c>
      <c r="AD129" t="str">
        <f ca="1">IF(C129&lt;=CRONO.NivelExibicao,MAX($AD$15:OFFSET(AD129,-1,0))+IF($C129&lt;&gt;1,1,MAX(1,COUNTIF([1]QCI!$A$13:$A$24,OFFSET($E129,-1,0)))),"")</f>
        <v/>
      </c>
      <c r="AE129" s="4" t="str">
        <f ca="1">IF(AND($C129="S",ORÇAMENTO.CodBarra&lt;&gt;""),IF(ORÇAMENTO.Fonte="",ORÇAMENTO.CodBarra,CONCATENATE(ORÇAMENTO.Fonte," ",ORÇAMENTO.CodBarra)))</f>
        <v>SINAPI 98052</v>
      </c>
      <c r="AF129" s="58" t="e">
        <f ca="1">IF(ISERROR(INDIRECT(ORÇAMENTO.BancoRef)),"(abra o arquivo 'Referência "&amp;Excel_BuiltIn_Database&amp;".xls)",IF(OR($C129&lt;&gt;"S",ORÇAMENTO.CodBarra=""),"(Sem Código)",IF(ISERROR(MATCH($AE129,INDIRECT(ORÇAMENTO.BancoRef),0)),"(Código não identificado nas referências)",MATCH($AE129,INDIRECT(ORÇAMENTO.BancoRef),0))))</f>
        <v>#VALUE!</v>
      </c>
      <c r="AG129" s="59" t="e">
        <f ca="1">ROUND(IF(DESONERACAO="sim",REFERENCIA.Desonerado,REFERENCIA.NaoDesonerado),2)</f>
        <v>#VALUE!</v>
      </c>
      <c r="AH129" s="60">
        <f t="shared" si="65"/>
        <v>0.2223</v>
      </c>
      <c r="AJ129" s="61">
        <v>1</v>
      </c>
      <c r="AL129" s="62"/>
      <c r="AM129" s="63" t="e">
        <f t="shared" ca="1" si="0"/>
        <v>#VALUE!</v>
      </c>
      <c r="AN129" s="64" t="e">
        <f t="shared" ca="1" si="66"/>
        <v>#VALUE!</v>
      </c>
    </row>
    <row r="130" spans="1:40" ht="38.25" x14ac:dyDescent="0.2">
      <c r="A130" t="str">
        <f t="shared" si="62"/>
        <v>S</v>
      </c>
      <c r="B130">
        <f t="shared" ca="1" si="67"/>
        <v>3</v>
      </c>
      <c r="C130" t="str">
        <f t="shared" ca="1" si="68"/>
        <v>S</v>
      </c>
      <c r="D130">
        <f t="shared" ca="1" si="69"/>
        <v>0</v>
      </c>
      <c r="E130" t="e">
        <f ca="1">IF($C130=1,OFFSET(E130,-1,0)+MAX(1,COUNTIF([1]QCI!$A$13:$A$24,OFFSET('PLANILHA A LICITAR'!E130,-1,0))),OFFSET(E130,-1,0))</f>
        <v>#VALUE!</v>
      </c>
      <c r="F130">
        <f t="shared" ca="1" si="70"/>
        <v>2</v>
      </c>
      <c r="G130">
        <f t="shared" ca="1" si="71"/>
        <v>8</v>
      </c>
      <c r="H130">
        <f t="shared" ca="1" si="72"/>
        <v>0</v>
      </c>
      <c r="I130" t="e">
        <f t="shared" ca="1" si="73"/>
        <v>#VALUE!</v>
      </c>
      <c r="J130">
        <f t="shared" ca="1" si="59"/>
        <v>0</v>
      </c>
      <c r="K130">
        <f ca="1">IF(OR($C130="S",$C130=0),0,MATCH(OFFSET($D130,0,$C130)+IF($C130&lt;&gt;1,1,COUNTIF([1]QCI!$A$13:$A$24,'PLANILHA A LICITAR'!E130)),OFFSET($D130,1,$C130,ROW($C$145)-ROW($C130)),0))</f>
        <v>0</v>
      </c>
      <c r="L130" s="42" t="e">
        <f t="shared" ca="1" si="74"/>
        <v>#VALUE!</v>
      </c>
      <c r="M130" s="43" t="s">
        <v>7</v>
      </c>
      <c r="N130" s="44" t="str">
        <f t="shared" ca="1" si="75"/>
        <v>Serviço</v>
      </c>
      <c r="O130" s="45" t="e">
        <f t="shared" ca="1" si="76"/>
        <v>#VALUE!</v>
      </c>
      <c r="P130" s="46" t="s">
        <v>62</v>
      </c>
      <c r="Q130" s="47">
        <v>98078</v>
      </c>
      <c r="R130" s="48" t="s">
        <v>213</v>
      </c>
      <c r="S130" s="49" t="s">
        <v>85</v>
      </c>
      <c r="T130" s="50" t="e">
        <f ca="1">OFFSET([1]CÁLCULO!H$15,ROW($T130)-ROW(T$15),0)</f>
        <v>#VALUE!</v>
      </c>
      <c r="U130" s="51" t="e">
        <f t="shared" ca="1" si="61"/>
        <v>#VALUE!</v>
      </c>
      <c r="V130" s="52" t="s">
        <v>10</v>
      </c>
      <c r="W130" s="50" t="e">
        <f ca="1">IF($C130="S",ROUND(IF(TIPOORCAMENTO="Proposto",ORÇAMENTO.CustoUnitario*(1+$AH130),ORÇAMENTO.PrecoUnitarioLicitado),15-13*$AF$10),0)</f>
        <v>#VALUE!</v>
      </c>
      <c r="X130" s="53" t="e">
        <f t="shared" ca="1" si="63"/>
        <v>#VALUE!</v>
      </c>
      <c r="Y130" s="54" t="s">
        <v>63</v>
      </c>
      <c r="Z130" t="e">
        <f t="shared" ca="1" si="77"/>
        <v>#VALUE!</v>
      </c>
      <c r="AA130" s="55" t="e">
        <f ca="1">IF($C130="S",IF($Z130="CP",$X130,IF($Z130="RA",(($X130)*[1]QCI!$AA$3),0)),SomaAgrup)</f>
        <v>#VALUE!</v>
      </c>
      <c r="AB130" s="56" t="e">
        <f t="shared" ca="1" si="64"/>
        <v>#VALUE!</v>
      </c>
      <c r="AC130" s="57" t="e">
        <f ca="1">IF($N130="","",IF(ORÇAMENTO.Descricao="","DESCRIÇÃO",IF(AND($C130="S",ORÇAMENTO.Unidade=""),"UNIDADE",IF($X130&lt;0,"VALOR NEGATIVO",IF(OR(AND(TIPOORCAMENTO="Proposto",$AG130&lt;&gt;"",$AG130&gt;0,ORÇAMENTO.CustoUnitario&gt;$AG130),AND(TIPOORCAMENTO="LICITADO",ORÇAMENTO.PrecoUnitarioLicitado&gt;$AN130)),"ACIMA REF.","")))))</f>
        <v>#VALUE!</v>
      </c>
      <c r="AD130" t="str">
        <f ca="1">IF(C130&lt;=CRONO.NivelExibicao,MAX($AD$15:OFFSET(AD130,-1,0))+IF($C130&lt;&gt;1,1,MAX(1,COUNTIF([1]QCI!$A$13:$A$24,OFFSET($E130,-1,0)))),"")</f>
        <v/>
      </c>
      <c r="AE130" s="4" t="str">
        <f ca="1">IF(AND($C130="S",ORÇAMENTO.CodBarra&lt;&gt;""),IF(ORÇAMENTO.Fonte="",ORÇAMENTO.CodBarra,CONCATENATE(ORÇAMENTO.Fonte," ",ORÇAMENTO.CodBarra)))</f>
        <v>SINAPI 98078</v>
      </c>
      <c r="AF130" s="58" t="e">
        <f ca="1">IF(ISERROR(INDIRECT(ORÇAMENTO.BancoRef)),"(abra o arquivo 'Referência "&amp;Excel_BuiltIn_Database&amp;".xls)",IF(OR($C130&lt;&gt;"S",ORÇAMENTO.CodBarra=""),"(Sem Código)",IF(ISERROR(MATCH($AE130,INDIRECT(ORÇAMENTO.BancoRef),0)),"(Código não identificado nas referências)",MATCH($AE130,INDIRECT(ORÇAMENTO.BancoRef),0))))</f>
        <v>#VALUE!</v>
      </c>
      <c r="AG130" s="59" t="e">
        <f ca="1">ROUND(IF(DESONERACAO="sim",REFERENCIA.Desonerado,REFERENCIA.NaoDesonerado),2)</f>
        <v>#VALUE!</v>
      </c>
      <c r="AH130" s="60">
        <f t="shared" si="65"/>
        <v>0.2223</v>
      </c>
      <c r="AJ130" s="61">
        <v>1</v>
      </c>
      <c r="AL130" s="62"/>
      <c r="AM130" s="63" t="e">
        <f t="shared" ca="1" si="0"/>
        <v>#VALUE!</v>
      </c>
      <c r="AN130" s="64" t="e">
        <f t="shared" ca="1" si="66"/>
        <v>#VALUE!</v>
      </c>
    </row>
    <row r="131" spans="1:40" x14ac:dyDescent="0.2">
      <c r="A131">
        <f t="shared" si="41"/>
        <v>3</v>
      </c>
      <c r="B131">
        <f t="shared" ca="1" si="46"/>
        <v>3</v>
      </c>
      <c r="C131">
        <f t="shared" ca="1" si="47"/>
        <v>3</v>
      </c>
      <c r="D131">
        <f t="shared" ca="1" si="48"/>
        <v>4</v>
      </c>
      <c r="E131" t="e">
        <f ca="1">IF($C131=1,OFFSET(E131,-1,0)+MAX(1,COUNTIF([1]QCI!$A$13:$A$24,OFFSET('PLANILHA A LICITAR'!E131,-1,0))),OFFSET(E131,-1,0))</f>
        <v>#VALUE!</v>
      </c>
      <c r="F131">
        <f t="shared" ca="1" si="49"/>
        <v>2</v>
      </c>
      <c r="G131">
        <f t="shared" ca="1" si="50"/>
        <v>9</v>
      </c>
      <c r="H131">
        <f t="shared" ca="1" si="51"/>
        <v>0</v>
      </c>
      <c r="I131">
        <f t="shared" ca="1" si="52"/>
        <v>0</v>
      </c>
      <c r="J131">
        <f t="shared" ca="1" si="59"/>
        <v>14</v>
      </c>
      <c r="K131">
        <f ca="1">IF(OR($C131="S",$C131=0),0,MATCH(OFFSET($D131,0,$C131)+IF($C131&lt;&gt;1,1,COUNTIF([1]QCI!$A$13:$A$24,'PLANILHA A LICITAR'!E131)),OFFSET($D131,1,$C131,ROW($C$145)-ROW($C131)),0))</f>
        <v>4</v>
      </c>
      <c r="L131" s="42" t="e">
        <f t="shared" ca="1" si="53"/>
        <v>#VALUE!</v>
      </c>
      <c r="M131" s="43" t="s">
        <v>5</v>
      </c>
      <c r="N131" s="44" t="str">
        <f t="shared" ca="1" si="54"/>
        <v>Nível 3</v>
      </c>
      <c r="O131" s="45" t="e">
        <f t="shared" ca="1" si="55"/>
        <v>#VALUE!</v>
      </c>
      <c r="P131" s="46" t="s">
        <v>62</v>
      </c>
      <c r="Q131" s="47"/>
      <c r="R131" s="48" t="s">
        <v>214</v>
      </c>
      <c r="S131" s="49" t="s">
        <v>67</v>
      </c>
      <c r="T131" s="50" t="e">
        <f ca="1">OFFSET([1]CÁLCULO!H$15,ROW($T131)-ROW(T$15),0)</f>
        <v>#VALUE!</v>
      </c>
      <c r="U131" s="51"/>
      <c r="V131" s="52" t="s">
        <v>10</v>
      </c>
      <c r="W131" s="50">
        <f ca="1">IF($C131="S",ROUND(IF(TIPOORCAMENTO="Proposto",ORÇAMENTO.CustoUnitario*(1+$AH131),ORÇAMENTO.PrecoUnitarioLicitado),15-13*$AF$10),0)</f>
        <v>0</v>
      </c>
      <c r="X131" s="53" t="e">
        <f t="shared" ca="1" si="42"/>
        <v>#VALUE!</v>
      </c>
      <c r="Y131" s="54" t="s">
        <v>63</v>
      </c>
      <c r="Z131" t="e">
        <f t="shared" ca="1" si="56"/>
        <v>#VALUE!</v>
      </c>
      <c r="AA131" s="55" t="e">
        <f ca="1">IF($C131="S",IF($Z131="CP",$X131,IF($Z131="RA",(($X131)*[1]QCI!$AA$3),0)),SomaAgrup)</f>
        <v>#VALUE!</v>
      </c>
      <c r="AB131" s="56" t="e">
        <f t="shared" ca="1" si="43"/>
        <v>#VALUE!</v>
      </c>
      <c r="AC131" s="57" t="e">
        <f ca="1">IF($N131="","",IF(ORÇAMENTO.Descricao="","DESCRIÇÃO",IF(AND($C131="S",ORÇAMENTO.Unidade=""),"UNIDADE",IF($X131&lt;0,"VALOR NEGATIVO",IF(OR(AND(TIPOORCAMENTO="Proposto",$AG131&lt;&gt;"",$AG131&gt;0,ORÇAMENTO.CustoUnitario&gt;$AG131),AND(TIPOORCAMENTO="LICITADO",ORÇAMENTO.PrecoUnitarioLicitado&gt;$AN131)),"ACIMA REF.","")))))</f>
        <v>#VALUE!</v>
      </c>
      <c r="AD131" t="e">
        <f ca="1">IF(C131&lt;=CRONO.NivelExibicao,MAX($AD$15:OFFSET(AD131,-1,0))+IF($C131&lt;&gt;1,1,MAX(1,COUNTIF([1]QCI!$A$13:$A$24,OFFSET($E131,-1,0)))),"")</f>
        <v>#VALUE!</v>
      </c>
      <c r="AE131" s="4" t="b">
        <f ca="1">IF(AND($C131="S",ORÇAMENTO.CodBarra&lt;&gt;""),IF(ORÇAMENTO.Fonte="",ORÇAMENTO.CodBarra,CONCATENATE(ORÇAMENTO.Fonte," ",ORÇAMENTO.CodBarra)))</f>
        <v>0</v>
      </c>
      <c r="AF131" s="58" t="e">
        <f ca="1">IF(ISERROR(INDIRECT(ORÇAMENTO.BancoRef)),"(abra o arquivo 'Referência "&amp;Excel_BuiltIn_Database&amp;".xls)",IF(OR($C131&lt;&gt;"S",ORÇAMENTO.CodBarra=""),"(Sem Código)",IF(ISERROR(MATCH($AE131,INDIRECT(ORÇAMENTO.BancoRef),0)),"(Código não identificado nas referências)",MATCH($AE131,INDIRECT(ORÇAMENTO.BancoRef),0))))</f>
        <v>#VALUE!</v>
      </c>
      <c r="AG131" s="59" t="e">
        <f ca="1">ROUND(IF(DESONERACAO="sim",REFERENCIA.Desonerado,REFERENCIA.NaoDesonerado),2)</f>
        <v>#VALUE!</v>
      </c>
      <c r="AH131" s="60">
        <f t="shared" si="44"/>
        <v>0.2223</v>
      </c>
      <c r="AJ131" s="61"/>
      <c r="AL131" s="62"/>
      <c r="AM131" s="63" t="e">
        <f t="shared" ca="1" si="0"/>
        <v>#VALUE!</v>
      </c>
      <c r="AN131" s="64">
        <f t="shared" si="45"/>
        <v>0</v>
      </c>
    </row>
    <row r="132" spans="1:40" ht="38.25" x14ac:dyDescent="0.2">
      <c r="A132" t="str">
        <f t="shared" si="41"/>
        <v>S</v>
      </c>
      <c r="B132">
        <f t="shared" ca="1" si="46"/>
        <v>3</v>
      </c>
      <c r="C132" t="str">
        <f t="shared" ca="1" si="47"/>
        <v>S</v>
      </c>
      <c r="D132">
        <f t="shared" ca="1" si="48"/>
        <v>0</v>
      </c>
      <c r="E132" t="e">
        <f ca="1">IF($C132=1,OFFSET(E132,-1,0)+MAX(1,COUNTIF([1]QCI!$A$13:$A$24,OFFSET('PLANILHA A LICITAR'!E132,-1,0))),OFFSET(E132,-1,0))</f>
        <v>#VALUE!</v>
      </c>
      <c r="F132">
        <f t="shared" ca="1" si="49"/>
        <v>2</v>
      </c>
      <c r="G132">
        <f t="shared" ca="1" si="50"/>
        <v>9</v>
      </c>
      <c r="H132">
        <f t="shared" ca="1" si="51"/>
        <v>0</v>
      </c>
      <c r="I132" t="e">
        <f t="shared" ca="1" si="52"/>
        <v>#VALUE!</v>
      </c>
      <c r="J132">
        <f t="shared" ca="1" si="59"/>
        <v>0</v>
      </c>
      <c r="K132">
        <f ca="1">IF(OR($C132="S",$C132=0),0,MATCH(OFFSET($D132,0,$C132)+IF($C132&lt;&gt;1,1,COUNTIF([1]QCI!$A$13:$A$24,'PLANILHA A LICITAR'!E132)),OFFSET($D132,1,$C132,ROW($C$145)-ROW($C132)),0))</f>
        <v>0</v>
      </c>
      <c r="L132" s="42" t="e">
        <f t="shared" ca="1" si="53"/>
        <v>#VALUE!</v>
      </c>
      <c r="M132" s="43" t="s">
        <v>7</v>
      </c>
      <c r="N132" s="44" t="str">
        <f t="shared" ca="1" si="54"/>
        <v>Serviço</v>
      </c>
      <c r="O132" s="45" t="e">
        <f t="shared" ca="1" si="55"/>
        <v>#VALUE!</v>
      </c>
      <c r="P132" s="46" t="s">
        <v>62</v>
      </c>
      <c r="Q132" s="47" t="s">
        <v>158</v>
      </c>
      <c r="R132" s="48" t="s">
        <v>159</v>
      </c>
      <c r="S132" s="49" t="s">
        <v>78</v>
      </c>
      <c r="T132" s="50" t="e">
        <f ca="1">OFFSET([1]CÁLCULO!H$15,ROW($T132)-ROW(T$15),0)</f>
        <v>#VALUE!</v>
      </c>
      <c r="U132" s="51" t="e">
        <f ca="1">AG132</f>
        <v>#VALUE!</v>
      </c>
      <c r="V132" s="52" t="s">
        <v>10</v>
      </c>
      <c r="W132" s="50" t="e">
        <f ca="1">IF($C132="S",ROUND(IF(TIPOORCAMENTO="Proposto",ORÇAMENTO.CustoUnitario*(1+$AH132),ORÇAMENTO.PrecoUnitarioLicitado),15-13*$AF$10),0)</f>
        <v>#VALUE!</v>
      </c>
      <c r="X132" s="53" t="e">
        <f t="shared" ca="1" si="42"/>
        <v>#VALUE!</v>
      </c>
      <c r="Y132" s="54" t="s">
        <v>63</v>
      </c>
      <c r="Z132" t="e">
        <f t="shared" ca="1" si="56"/>
        <v>#VALUE!</v>
      </c>
      <c r="AA132" s="55" t="e">
        <f ca="1">IF($C132="S",IF($Z132="CP",$X132,IF($Z132="RA",(($X132)*[1]QCI!$AA$3),0)),SomaAgrup)</f>
        <v>#VALUE!</v>
      </c>
      <c r="AB132" s="56" t="e">
        <f t="shared" ca="1" si="43"/>
        <v>#VALUE!</v>
      </c>
      <c r="AC132" s="57" t="e">
        <f ca="1">IF($N132="","",IF(ORÇAMENTO.Descricao="","DESCRIÇÃO",IF(AND($C132="S",ORÇAMENTO.Unidade=""),"UNIDADE",IF($X132&lt;0,"VALOR NEGATIVO",IF(OR(AND(TIPOORCAMENTO="Proposto",$AG132&lt;&gt;"",$AG132&gt;0,ORÇAMENTO.CustoUnitario&gt;$AG132),AND(TIPOORCAMENTO="LICITADO",ORÇAMENTO.PrecoUnitarioLicitado&gt;$AN132)),"ACIMA REF.","")))))</f>
        <v>#VALUE!</v>
      </c>
      <c r="AD132" t="str">
        <f ca="1">IF(C132&lt;=CRONO.NivelExibicao,MAX($AD$15:OFFSET(AD132,-1,0))+IF($C132&lt;&gt;1,1,MAX(1,COUNTIF([1]QCI!$A$13:$A$24,OFFSET($E132,-1,0)))),"")</f>
        <v/>
      </c>
      <c r="AE132" s="4" t="str">
        <f ca="1">IF(AND($C132="S",ORÇAMENTO.CodBarra&lt;&gt;""),IF(ORÇAMENTO.Fonte="",ORÇAMENTO.CodBarra,CONCATENATE(ORÇAMENTO.Fonte," ",ORÇAMENTO.CodBarra)))</f>
        <v>SINAPI 100324</v>
      </c>
      <c r="AF132" s="58" t="e">
        <f ca="1">IF(ISERROR(INDIRECT(ORÇAMENTO.BancoRef)),"(abra o arquivo 'Referência "&amp;Excel_BuiltIn_Database&amp;".xls)",IF(OR($C132&lt;&gt;"S",ORÇAMENTO.CodBarra=""),"(Sem Código)",IF(ISERROR(MATCH($AE132,INDIRECT(ORÇAMENTO.BancoRef),0)),"(Código não identificado nas referências)",MATCH($AE132,INDIRECT(ORÇAMENTO.BancoRef),0))))</f>
        <v>#VALUE!</v>
      </c>
      <c r="AG132" s="59" t="e">
        <f ca="1">ROUND(IF(DESONERACAO="sim",REFERENCIA.Desonerado,REFERENCIA.NaoDesonerado),2)</f>
        <v>#VALUE!</v>
      </c>
      <c r="AH132" s="60">
        <f t="shared" si="44"/>
        <v>0.2223</v>
      </c>
      <c r="AJ132" s="61">
        <v>18.3</v>
      </c>
      <c r="AL132" s="62"/>
      <c r="AM132" s="63" t="e">
        <f t="shared" ca="1" si="0"/>
        <v>#VALUE!</v>
      </c>
      <c r="AN132" s="64" t="e">
        <f t="shared" ca="1" si="45"/>
        <v>#VALUE!</v>
      </c>
    </row>
    <row r="133" spans="1:40" ht="38.25" x14ac:dyDescent="0.2">
      <c r="A133" t="str">
        <f t="shared" si="41"/>
        <v>S</v>
      </c>
      <c r="B133">
        <f t="shared" ca="1" si="46"/>
        <v>3</v>
      </c>
      <c r="C133" t="str">
        <f t="shared" ca="1" si="47"/>
        <v>S</v>
      </c>
      <c r="D133">
        <f t="shared" ca="1" si="48"/>
        <v>0</v>
      </c>
      <c r="E133" t="e">
        <f ca="1">IF($C133=1,OFFSET(E133,-1,0)+MAX(1,COUNTIF([1]QCI!$A$13:$A$24,OFFSET('PLANILHA A LICITAR'!E133,-1,0))),OFFSET(E133,-1,0))</f>
        <v>#VALUE!</v>
      </c>
      <c r="F133">
        <f t="shared" ca="1" si="49"/>
        <v>2</v>
      </c>
      <c r="G133">
        <f t="shared" ca="1" si="50"/>
        <v>9</v>
      </c>
      <c r="H133">
        <f t="shared" ca="1" si="51"/>
        <v>0</v>
      </c>
      <c r="I133" t="e">
        <f t="shared" ca="1" si="52"/>
        <v>#VALUE!</v>
      </c>
      <c r="J133">
        <f t="shared" ca="1" si="59"/>
        <v>0</v>
      </c>
      <c r="K133">
        <f ca="1">IF(OR($C133="S",$C133=0),0,MATCH(OFFSET($D133,0,$C133)+IF($C133&lt;&gt;1,1,COUNTIF([1]QCI!$A$13:$A$24,'PLANILHA A LICITAR'!E133)),OFFSET($D133,1,$C133,ROW($C$145)-ROW($C133)),0))</f>
        <v>0</v>
      </c>
      <c r="L133" s="42" t="e">
        <f t="shared" ca="1" si="53"/>
        <v>#VALUE!</v>
      </c>
      <c r="M133" s="43" t="s">
        <v>7</v>
      </c>
      <c r="N133" s="44" t="str">
        <f t="shared" ca="1" si="54"/>
        <v>Serviço</v>
      </c>
      <c r="O133" s="45" t="e">
        <f t="shared" ca="1" si="55"/>
        <v>#VALUE!</v>
      </c>
      <c r="P133" s="46" t="s">
        <v>62</v>
      </c>
      <c r="Q133" s="47" t="s">
        <v>136</v>
      </c>
      <c r="R133" s="48" t="s">
        <v>137</v>
      </c>
      <c r="S133" s="49" t="s">
        <v>78</v>
      </c>
      <c r="T133" s="50" t="e">
        <f ca="1">OFFSET([1]CÁLCULO!H$15,ROW($T133)-ROW(T$15),0)</f>
        <v>#VALUE!</v>
      </c>
      <c r="U133" s="51" t="e">
        <f ca="1">AG133</f>
        <v>#VALUE!</v>
      </c>
      <c r="V133" s="52" t="s">
        <v>10</v>
      </c>
      <c r="W133" s="50" t="e">
        <f ca="1">IF($C133="S",ROUND(IF(TIPOORCAMENTO="Proposto",ORÇAMENTO.CustoUnitario*(1+$AH133),ORÇAMENTO.PrecoUnitarioLicitado),15-13*$AF$10),0)</f>
        <v>#VALUE!</v>
      </c>
      <c r="X133" s="53" t="e">
        <f t="shared" ca="1" si="42"/>
        <v>#VALUE!</v>
      </c>
      <c r="Y133" s="54" t="s">
        <v>63</v>
      </c>
      <c r="Z133" t="e">
        <f t="shared" ca="1" si="56"/>
        <v>#VALUE!</v>
      </c>
      <c r="AA133" s="55" t="e">
        <f ca="1">IF($C133="S",IF($Z133="CP",$X133,IF($Z133="RA",(($X133)*[1]QCI!$AA$3),0)),SomaAgrup)</f>
        <v>#VALUE!</v>
      </c>
      <c r="AB133" s="56" t="e">
        <f t="shared" ca="1" si="43"/>
        <v>#VALUE!</v>
      </c>
      <c r="AC133" s="57" t="e">
        <f ca="1">IF($N133="","",IF(ORÇAMENTO.Descricao="","DESCRIÇÃO",IF(AND($C133="S",ORÇAMENTO.Unidade=""),"UNIDADE",IF($X133&lt;0,"VALOR NEGATIVO",IF(OR(AND(TIPOORCAMENTO="Proposto",$AG133&lt;&gt;"",$AG133&gt;0,ORÇAMENTO.CustoUnitario&gt;$AG133),AND(TIPOORCAMENTO="LICITADO",ORÇAMENTO.PrecoUnitarioLicitado&gt;$AN133)),"ACIMA REF.","")))))</f>
        <v>#VALUE!</v>
      </c>
      <c r="AD133" t="str">
        <f ca="1">IF(C133&lt;=CRONO.NivelExibicao,MAX($AD$15:OFFSET(AD133,-1,0))+IF($C133&lt;&gt;1,1,MAX(1,COUNTIF([1]QCI!$A$13:$A$24,OFFSET($E133,-1,0)))),"")</f>
        <v/>
      </c>
      <c r="AE133" s="4" t="str">
        <f ca="1">IF(AND($C133="S",ORÇAMENTO.CodBarra&lt;&gt;""),IF(ORÇAMENTO.Fonte="",ORÇAMENTO.CodBarra,CONCATENATE(ORÇAMENTO.Fonte," ",ORÇAMENTO.CodBarra)))</f>
        <v>SINAPI 94971</v>
      </c>
      <c r="AF133" s="58" t="e">
        <f ca="1">IF(ISERROR(INDIRECT(ORÇAMENTO.BancoRef)),"(abra o arquivo 'Referência "&amp;Excel_BuiltIn_Database&amp;".xls)",IF(OR($C133&lt;&gt;"S",ORÇAMENTO.CodBarra=""),"(Sem Código)",IF(ISERROR(MATCH($AE133,INDIRECT(ORÇAMENTO.BancoRef),0)),"(Código não identificado nas referências)",MATCH($AE133,INDIRECT(ORÇAMENTO.BancoRef),0))))</f>
        <v>#VALUE!</v>
      </c>
      <c r="AG133" s="59" t="e">
        <f ca="1">ROUND(IF(DESONERACAO="sim",REFERENCIA.Desonerado,REFERENCIA.NaoDesonerado),2)</f>
        <v>#VALUE!</v>
      </c>
      <c r="AH133" s="60">
        <f t="shared" si="44"/>
        <v>0.2223</v>
      </c>
      <c r="AJ133" s="61">
        <f>463.94*0.06</f>
        <v>27.836399999999998</v>
      </c>
      <c r="AL133" s="62"/>
      <c r="AM133" s="63" t="e">
        <f t="shared" ca="1" si="0"/>
        <v>#VALUE!</v>
      </c>
      <c r="AN133" s="64" t="e">
        <f t="shared" ca="1" si="45"/>
        <v>#VALUE!</v>
      </c>
    </row>
    <row r="134" spans="1:40" x14ac:dyDescent="0.2">
      <c r="A134" t="str">
        <f t="shared" si="41"/>
        <v>S</v>
      </c>
      <c r="B134">
        <f t="shared" ca="1" si="46"/>
        <v>3</v>
      </c>
      <c r="C134" t="str">
        <f t="shared" ca="1" si="47"/>
        <v>S</v>
      </c>
      <c r="D134">
        <f t="shared" ca="1" si="48"/>
        <v>0</v>
      </c>
      <c r="E134" t="e">
        <f ca="1">IF($C134=1,OFFSET(E134,-1,0)+MAX(1,COUNTIF([1]QCI!$A$13:$A$24,OFFSET('PLANILHA A LICITAR'!E134,-1,0))),OFFSET(E134,-1,0))</f>
        <v>#VALUE!</v>
      </c>
      <c r="F134">
        <f t="shared" ca="1" si="49"/>
        <v>2</v>
      </c>
      <c r="G134">
        <f t="shared" ca="1" si="50"/>
        <v>9</v>
      </c>
      <c r="H134">
        <f t="shared" ca="1" si="51"/>
        <v>0</v>
      </c>
      <c r="I134" t="e">
        <f t="shared" ca="1" si="52"/>
        <v>#VALUE!</v>
      </c>
      <c r="J134">
        <f t="shared" ca="1" si="59"/>
        <v>0</v>
      </c>
      <c r="K134">
        <f ca="1">IF(OR($C134="S",$C134=0),0,MATCH(OFFSET($D134,0,$C134)+IF($C134&lt;&gt;1,1,COUNTIF([1]QCI!$A$13:$A$24,'PLANILHA A LICITAR'!E134)),OFFSET($D134,1,$C134,ROW($C$145)-ROW($C134)),0))</f>
        <v>0</v>
      </c>
      <c r="L134" s="42" t="e">
        <f t="shared" ca="1" si="53"/>
        <v>#VALUE!</v>
      </c>
      <c r="M134" s="43" t="s">
        <v>7</v>
      </c>
      <c r="N134" s="44" t="str">
        <f t="shared" ca="1" si="54"/>
        <v>Serviço</v>
      </c>
      <c r="O134" s="45" t="e">
        <f t="shared" ca="1" si="55"/>
        <v>#VALUE!</v>
      </c>
      <c r="P134" s="46" t="s">
        <v>62</v>
      </c>
      <c r="Q134" s="47" t="s">
        <v>215</v>
      </c>
      <c r="R134" s="48" t="s">
        <v>216</v>
      </c>
      <c r="S134" s="49" t="s">
        <v>75</v>
      </c>
      <c r="T134" s="50" t="e">
        <f ca="1">OFFSET([1]CÁLCULO!H$15,ROW($T134)-ROW(T$15),0)</f>
        <v>#VALUE!</v>
      </c>
      <c r="U134" s="51">
        <v>8.01</v>
      </c>
      <c r="V134" s="52" t="s">
        <v>10</v>
      </c>
      <c r="W134" s="50">
        <f ca="1">IF($C134="S",ROUND(IF(TIPOORCAMENTO="Proposto",ORÇAMENTO.CustoUnitario*(1+$AH134),ORÇAMENTO.PrecoUnitarioLicitado),15-13*$AF$10),0)</f>
        <v>9.7906230000000001</v>
      </c>
      <c r="X134" s="53" t="e">
        <f t="shared" ca="1" si="42"/>
        <v>#VALUE!</v>
      </c>
      <c r="Y134" s="54" t="s">
        <v>63</v>
      </c>
      <c r="Z134" t="e">
        <f t="shared" ca="1" si="56"/>
        <v>#VALUE!</v>
      </c>
      <c r="AA134" s="55" t="e">
        <f ca="1">IF($C134="S",IF($Z134="CP",$X134,IF($Z134="RA",(($X134)*[1]QCI!$AA$3),0)),SomaAgrup)</f>
        <v>#VALUE!</v>
      </c>
      <c r="AB134" s="56" t="e">
        <f t="shared" ca="1" si="43"/>
        <v>#VALUE!</v>
      </c>
      <c r="AC134" s="57" t="e">
        <f ca="1">IF($N134="","",IF(ORÇAMENTO.Descricao="","DESCRIÇÃO",IF(AND($C134="S",ORÇAMENTO.Unidade=""),"UNIDADE",IF($X134&lt;0,"VALOR NEGATIVO",IF(OR(AND(TIPOORCAMENTO="Proposto",$AG134&lt;&gt;"",$AG134&gt;0,ORÇAMENTO.CustoUnitario&gt;$AG134),AND(TIPOORCAMENTO="LICITADO",ORÇAMENTO.PrecoUnitarioLicitado&gt;$AN134)),"ACIMA REF.","")))))</f>
        <v>#VALUE!</v>
      </c>
      <c r="AD134" t="str">
        <f ca="1">IF(C134&lt;=CRONO.NivelExibicao,MAX($AD$15:OFFSET(AD134,-1,0))+IF($C134&lt;&gt;1,1,MAX(1,COUNTIF([1]QCI!$A$13:$A$24,OFFSET($E134,-1,0)))),"")</f>
        <v/>
      </c>
      <c r="AE134" s="4" t="str">
        <f ca="1">IF(AND($C134="S",ORÇAMENTO.CodBarra&lt;&gt;""),IF(ORÇAMENTO.Fonte="",ORÇAMENTO.CodBarra,CONCATENATE(ORÇAMENTO.Fonte," ",ORÇAMENTO.CodBarra)))</f>
        <v>SINAPI AUX0200</v>
      </c>
      <c r="AF134" s="58" t="e">
        <f ca="1">IF(ISERROR(INDIRECT(ORÇAMENTO.BancoRef)),"(abra o arquivo 'Referência "&amp;Excel_BuiltIn_Database&amp;".xls)",IF(OR($C134&lt;&gt;"S",ORÇAMENTO.CodBarra=""),"(Sem Código)",IF(ISERROR(MATCH($AE134,INDIRECT(ORÇAMENTO.BancoRef),0)),"(Código não identificado nas referências)",MATCH($AE134,INDIRECT(ORÇAMENTO.BancoRef),0))))</f>
        <v>#VALUE!</v>
      </c>
      <c r="AG134" s="59" t="e">
        <f ca="1">ROUND(IF(DESONERACAO="sim",REFERENCIA.Desonerado,REFERENCIA.NaoDesonerado),2)</f>
        <v>#VALUE!</v>
      </c>
      <c r="AH134" s="60">
        <f t="shared" si="44"/>
        <v>0.2223</v>
      </c>
      <c r="AJ134" s="61">
        <v>463.94</v>
      </c>
      <c r="AL134" s="62"/>
      <c r="AM134" s="63" t="e">
        <f t="shared" ca="1" si="0"/>
        <v>#VALUE!</v>
      </c>
      <c r="AN134" s="64">
        <f t="shared" si="45"/>
        <v>9.7899999999999991</v>
      </c>
    </row>
    <row r="135" spans="1:40" x14ac:dyDescent="0.2">
      <c r="A135">
        <f t="shared" si="41"/>
        <v>3</v>
      </c>
      <c r="B135">
        <f t="shared" ca="1" si="46"/>
        <v>3</v>
      </c>
      <c r="C135">
        <f t="shared" ca="1" si="47"/>
        <v>3</v>
      </c>
      <c r="D135">
        <f t="shared" ca="1" si="48"/>
        <v>4</v>
      </c>
      <c r="E135" t="e">
        <f ca="1">IF($C135=1,OFFSET(E135,-1,0)+MAX(1,COUNTIF([1]QCI!$A$13:$A$24,OFFSET('PLANILHA A LICITAR'!E135,-1,0))),OFFSET(E135,-1,0))</f>
        <v>#VALUE!</v>
      </c>
      <c r="F135">
        <f t="shared" ca="1" si="49"/>
        <v>2</v>
      </c>
      <c r="G135">
        <f t="shared" ca="1" si="50"/>
        <v>10</v>
      </c>
      <c r="H135">
        <f t="shared" ca="1" si="51"/>
        <v>0</v>
      </c>
      <c r="I135">
        <f t="shared" ca="1" si="52"/>
        <v>0</v>
      </c>
      <c r="J135">
        <f t="shared" ca="1" si="59"/>
        <v>10</v>
      </c>
      <c r="K135">
        <f ca="1">IF(OR($C135="S",$C135=0),0,MATCH(OFFSET($D135,0,$C135)+IF($C135&lt;&gt;1,1,COUNTIF([1]QCI!$A$13:$A$24,'PLANILHA A LICITAR'!E135)),OFFSET($D135,1,$C135,ROW($C$145)-ROW($C135)),0))</f>
        <v>4</v>
      </c>
      <c r="L135" s="42" t="e">
        <f t="shared" ca="1" si="53"/>
        <v>#VALUE!</v>
      </c>
      <c r="M135" s="43" t="s">
        <v>5</v>
      </c>
      <c r="N135" s="44" t="str">
        <f t="shared" ca="1" si="54"/>
        <v>Nível 3</v>
      </c>
      <c r="O135" s="45" t="e">
        <f t="shared" ca="1" si="55"/>
        <v>#VALUE!</v>
      </c>
      <c r="P135" s="46" t="s">
        <v>62</v>
      </c>
      <c r="Q135" s="47"/>
      <c r="R135" s="48" t="s">
        <v>217</v>
      </c>
      <c r="S135" s="49" t="s">
        <v>67</v>
      </c>
      <c r="T135" s="50" t="e">
        <f ca="1">OFFSET([1]CÁLCULO!H$15,ROW($T135)-ROW(T$15),0)</f>
        <v>#VALUE!</v>
      </c>
      <c r="U135" s="51"/>
      <c r="V135" s="52" t="s">
        <v>10</v>
      </c>
      <c r="W135" s="50">
        <f ca="1">IF($C135="S",ROUND(IF(TIPOORCAMENTO="Proposto",ORÇAMENTO.CustoUnitario*(1+$AH135),ORÇAMENTO.PrecoUnitarioLicitado),15-13*$AF$10),0)</f>
        <v>0</v>
      </c>
      <c r="X135" s="53" t="e">
        <f t="shared" ca="1" si="42"/>
        <v>#VALUE!</v>
      </c>
      <c r="Y135" s="54" t="s">
        <v>63</v>
      </c>
      <c r="Z135" t="e">
        <f t="shared" ca="1" si="56"/>
        <v>#VALUE!</v>
      </c>
      <c r="AA135" s="55" t="e">
        <f ca="1">IF($C135="S",IF($Z135="CP",$X135,IF($Z135="RA",(($X135)*[1]QCI!$AA$3),0)),SomaAgrup)</f>
        <v>#VALUE!</v>
      </c>
      <c r="AB135" s="56" t="e">
        <f t="shared" ca="1" si="43"/>
        <v>#VALUE!</v>
      </c>
      <c r="AC135" s="57" t="e">
        <f ca="1">IF($N135="","",IF(ORÇAMENTO.Descricao="","DESCRIÇÃO",IF(AND($C135="S",ORÇAMENTO.Unidade=""),"UNIDADE",IF($X135&lt;0,"VALOR NEGATIVO",IF(OR(AND(TIPOORCAMENTO="Proposto",$AG135&lt;&gt;"",$AG135&gt;0,ORÇAMENTO.CustoUnitario&gt;$AG135),AND(TIPOORCAMENTO="LICITADO",ORÇAMENTO.PrecoUnitarioLicitado&gt;$AN135)),"ACIMA REF.","")))))</f>
        <v>#VALUE!</v>
      </c>
      <c r="AD135" t="e">
        <f ca="1">IF(C135&lt;=CRONO.NivelExibicao,MAX($AD$15:OFFSET(AD135,-1,0))+IF($C135&lt;&gt;1,1,MAX(1,COUNTIF([1]QCI!$A$13:$A$24,OFFSET($E135,-1,0)))),"")</f>
        <v>#VALUE!</v>
      </c>
      <c r="AE135" s="4" t="b">
        <f ca="1">IF(AND($C135="S",ORÇAMENTO.CodBarra&lt;&gt;""),IF(ORÇAMENTO.Fonte="",ORÇAMENTO.CodBarra,CONCATENATE(ORÇAMENTO.Fonte," ",ORÇAMENTO.CodBarra)))</f>
        <v>0</v>
      </c>
      <c r="AF135" s="58" t="e">
        <f ca="1">IF(ISERROR(INDIRECT(ORÇAMENTO.BancoRef)),"(abra o arquivo 'Referência "&amp;Excel_BuiltIn_Database&amp;".xls)",IF(OR($C135&lt;&gt;"S",ORÇAMENTO.CodBarra=""),"(Sem Código)",IF(ISERROR(MATCH($AE135,INDIRECT(ORÇAMENTO.BancoRef),0)),"(Código não identificado nas referências)",MATCH($AE135,INDIRECT(ORÇAMENTO.BancoRef),0))))</f>
        <v>#VALUE!</v>
      </c>
      <c r="AG135" s="59" t="e">
        <f ca="1">ROUND(IF(DESONERACAO="sim",REFERENCIA.Desonerado,REFERENCIA.NaoDesonerado),2)</f>
        <v>#VALUE!</v>
      </c>
      <c r="AH135" s="60">
        <f t="shared" si="44"/>
        <v>0.2223</v>
      </c>
      <c r="AJ135" s="61"/>
      <c r="AL135" s="62"/>
      <c r="AM135" s="63" t="e">
        <f t="shared" ca="1" si="0"/>
        <v>#VALUE!</v>
      </c>
      <c r="AN135" s="64">
        <f t="shared" si="45"/>
        <v>0</v>
      </c>
    </row>
    <row r="136" spans="1:40" ht="89.25" x14ac:dyDescent="0.2">
      <c r="A136" t="str">
        <f t="shared" si="41"/>
        <v>S</v>
      </c>
      <c r="B136">
        <f t="shared" ca="1" si="46"/>
        <v>3</v>
      </c>
      <c r="C136" t="str">
        <f t="shared" ca="1" si="47"/>
        <v>S</v>
      </c>
      <c r="D136">
        <f t="shared" ca="1" si="48"/>
        <v>0</v>
      </c>
      <c r="E136" t="e">
        <f ca="1">IF($C136=1,OFFSET(E136,-1,0)+MAX(1,COUNTIF([1]QCI!$A$13:$A$24,OFFSET('PLANILHA A LICITAR'!E136,-1,0))),OFFSET(E136,-1,0))</f>
        <v>#VALUE!</v>
      </c>
      <c r="F136">
        <f t="shared" ca="1" si="49"/>
        <v>2</v>
      </c>
      <c r="G136">
        <f t="shared" ca="1" si="50"/>
        <v>10</v>
      </c>
      <c r="H136">
        <f t="shared" ca="1" si="51"/>
        <v>0</v>
      </c>
      <c r="I136" t="e">
        <f t="shared" ca="1" si="52"/>
        <v>#VALUE!</v>
      </c>
      <c r="J136">
        <f t="shared" ca="1" si="59"/>
        <v>0</v>
      </c>
      <c r="K136">
        <f ca="1">IF(OR($C136="S",$C136=0),0,MATCH(OFFSET($D136,0,$C136)+IF($C136&lt;&gt;1,1,COUNTIF([1]QCI!$A$13:$A$24,'PLANILHA A LICITAR'!E136)),OFFSET($D136,1,$C136,ROW($C$145)-ROW($C136)),0))</f>
        <v>0</v>
      </c>
      <c r="L136" s="42" t="e">
        <f t="shared" ca="1" si="53"/>
        <v>#VALUE!</v>
      </c>
      <c r="M136" s="43" t="s">
        <v>7</v>
      </c>
      <c r="N136" s="44" t="str">
        <f t="shared" ca="1" si="54"/>
        <v>Serviço</v>
      </c>
      <c r="O136" s="45" t="e">
        <f t="shared" ca="1" si="55"/>
        <v>#VALUE!</v>
      </c>
      <c r="P136" s="46" t="s">
        <v>62</v>
      </c>
      <c r="Q136" s="47" t="s">
        <v>94</v>
      </c>
      <c r="R136" s="48" t="s">
        <v>218</v>
      </c>
      <c r="S136" s="49" t="s">
        <v>96</v>
      </c>
      <c r="T136" s="50" t="e">
        <f ca="1">OFFSET([1]CÁLCULO!H$15,ROW($T136)-ROW(T$15),0)</f>
        <v>#VALUE!</v>
      </c>
      <c r="U136" s="51">
        <v>75770.460000000006</v>
      </c>
      <c r="V136" s="52" t="s">
        <v>10</v>
      </c>
      <c r="W136" s="50">
        <f ca="1">IF($C136="S",ROUND(IF(TIPOORCAMENTO="Proposto",ORÇAMENTO.CustoUnitario*(1+$AH136),ORÇAMENTO.PrecoUnitarioLicitado),15-13*$AF$10),0)</f>
        <v>92614.233257999993</v>
      </c>
      <c r="X136" s="53" t="e">
        <f t="shared" ca="1" si="42"/>
        <v>#VALUE!</v>
      </c>
      <c r="Y136" s="54" t="s">
        <v>63</v>
      </c>
      <c r="Z136" t="e">
        <f t="shared" ca="1" si="56"/>
        <v>#VALUE!</v>
      </c>
      <c r="AA136" s="55" t="e">
        <f ca="1">IF($C136="S",IF($Z136="CP",$X136,IF($Z136="RA",(($X136)*[1]QCI!$AA$3),0)),SomaAgrup)</f>
        <v>#VALUE!</v>
      </c>
      <c r="AB136" s="56" t="e">
        <f t="shared" ca="1" si="43"/>
        <v>#VALUE!</v>
      </c>
      <c r="AC136" s="57" t="e">
        <f ca="1">IF($N136="","",IF(ORÇAMENTO.Descricao="","DESCRIÇÃO",IF(AND($C136="S",ORÇAMENTO.Unidade=""),"UNIDADE",IF($X136&lt;0,"VALOR NEGATIVO",IF(OR(AND(TIPOORCAMENTO="Proposto",$AG136&lt;&gt;"",$AG136&gt;0,ORÇAMENTO.CustoUnitario&gt;$AG136),AND(TIPOORCAMENTO="LICITADO",ORÇAMENTO.PrecoUnitarioLicitado&gt;$AN136)),"ACIMA REF.","")))))</f>
        <v>#VALUE!</v>
      </c>
      <c r="AD136" t="str">
        <f ca="1">IF(C136&lt;=CRONO.NivelExibicao,MAX($AD$15:OFFSET(AD136,-1,0))+IF($C136&lt;&gt;1,1,MAX(1,COUNTIF([1]QCI!$A$13:$A$24,OFFSET($E136,-1,0)))),"")</f>
        <v/>
      </c>
      <c r="AE136" s="4" t="str">
        <f ca="1">IF(AND($C136="S",ORÇAMENTO.CodBarra&lt;&gt;""),IF(ORÇAMENTO.Fonte="",ORÇAMENTO.CodBarra,CONCATENATE(ORÇAMENTO.Fonte," ",ORÇAMENTO.CodBarra)))</f>
        <v xml:space="preserve">SINAPI COTAÇÃO </v>
      </c>
      <c r="AF136" s="58" t="e">
        <f ca="1">IF(ISERROR(INDIRECT(ORÇAMENTO.BancoRef)),"(abra o arquivo 'Referência "&amp;Excel_BuiltIn_Database&amp;".xls)",IF(OR($C136&lt;&gt;"S",ORÇAMENTO.CodBarra=""),"(Sem Código)",IF(ISERROR(MATCH($AE136,INDIRECT(ORÇAMENTO.BancoRef),0)),"(Código não identificado nas referências)",MATCH($AE136,INDIRECT(ORÇAMENTO.BancoRef),0))))</f>
        <v>#VALUE!</v>
      </c>
      <c r="AG136" s="59" t="e">
        <f ca="1">ROUND(IF(DESONERACAO="sim",REFERENCIA.Desonerado,REFERENCIA.NaoDesonerado),2)</f>
        <v>#VALUE!</v>
      </c>
      <c r="AH136" s="60">
        <f t="shared" si="44"/>
        <v>0.2223</v>
      </c>
      <c r="AJ136" s="61">
        <v>1</v>
      </c>
      <c r="AL136" s="62"/>
      <c r="AM136" s="63" t="e">
        <f t="shared" ca="1" si="0"/>
        <v>#VALUE!</v>
      </c>
      <c r="AN136" s="64">
        <f t="shared" si="45"/>
        <v>92614.23</v>
      </c>
    </row>
    <row r="137" spans="1:40" ht="25.5" x14ac:dyDescent="0.2">
      <c r="A137" t="str">
        <f t="shared" si="41"/>
        <v>S</v>
      </c>
      <c r="B137">
        <f t="shared" ca="1" si="46"/>
        <v>3</v>
      </c>
      <c r="C137" t="str">
        <f t="shared" ca="1" si="47"/>
        <v>S</v>
      </c>
      <c r="D137">
        <f t="shared" ca="1" si="48"/>
        <v>0</v>
      </c>
      <c r="E137" t="e">
        <f ca="1">IF($C137=1,OFFSET(E137,-1,0)+MAX(1,COUNTIF([1]QCI!$A$13:$A$24,OFFSET('PLANILHA A LICITAR'!E137,-1,0))),OFFSET(E137,-1,0))</f>
        <v>#VALUE!</v>
      </c>
      <c r="F137">
        <f t="shared" ca="1" si="49"/>
        <v>2</v>
      </c>
      <c r="G137">
        <f t="shared" ca="1" si="50"/>
        <v>10</v>
      </c>
      <c r="H137">
        <f t="shared" ca="1" si="51"/>
        <v>0</v>
      </c>
      <c r="I137" t="e">
        <f t="shared" ca="1" si="52"/>
        <v>#VALUE!</v>
      </c>
      <c r="J137">
        <f t="shared" ca="1" si="59"/>
        <v>0</v>
      </c>
      <c r="K137">
        <f ca="1">IF(OR($C137="S",$C137=0),0,MATCH(OFFSET($D137,0,$C137)+IF($C137&lt;&gt;1,1,COUNTIF([1]QCI!$A$13:$A$24,'PLANILHA A LICITAR'!E137)),OFFSET($D137,1,$C137,ROW($C$145)-ROW($C137)),0))</f>
        <v>0</v>
      </c>
      <c r="L137" s="42" t="e">
        <f t="shared" ca="1" si="53"/>
        <v>#VALUE!</v>
      </c>
      <c r="M137" s="43" t="s">
        <v>7</v>
      </c>
      <c r="N137" s="44" t="str">
        <f t="shared" ca="1" si="54"/>
        <v>Serviço</v>
      </c>
      <c r="O137" s="45" t="e">
        <f t="shared" ca="1" si="55"/>
        <v>#VALUE!</v>
      </c>
      <c r="P137" s="46" t="s">
        <v>62</v>
      </c>
      <c r="Q137" s="47" t="s">
        <v>219</v>
      </c>
      <c r="R137" s="48" t="s">
        <v>220</v>
      </c>
      <c r="S137" s="49" t="s">
        <v>75</v>
      </c>
      <c r="T137" s="50" t="e">
        <f ca="1">OFFSET([1]CÁLCULO!H$15,ROW($T137)-ROW(T$15),0)</f>
        <v>#VALUE!</v>
      </c>
      <c r="U137" s="51" t="e">
        <f ca="1">AG137</f>
        <v>#VALUE!</v>
      </c>
      <c r="V137" s="52" t="s">
        <v>10</v>
      </c>
      <c r="W137" s="50" t="e">
        <f ca="1">IF($C137="S",ROUND(IF(TIPOORCAMENTO="Proposto",ORÇAMENTO.CustoUnitario*(1+$AH137),ORÇAMENTO.PrecoUnitarioLicitado),15-13*$AF$10),0)</f>
        <v>#VALUE!</v>
      </c>
      <c r="X137" s="53" t="e">
        <f t="shared" ca="1" si="42"/>
        <v>#VALUE!</v>
      </c>
      <c r="Y137" s="54" t="s">
        <v>63</v>
      </c>
      <c r="Z137" t="e">
        <f t="shared" ca="1" si="56"/>
        <v>#VALUE!</v>
      </c>
      <c r="AA137" s="55" t="e">
        <f ca="1">IF($C137="S",IF($Z137="CP",$X137,IF($Z137="RA",(($X137)*[1]QCI!$AA$3),0)),SomaAgrup)</f>
        <v>#VALUE!</v>
      </c>
      <c r="AB137" s="56" t="e">
        <f t="shared" ca="1" si="43"/>
        <v>#VALUE!</v>
      </c>
      <c r="AC137" s="57" t="e">
        <f ca="1">IF($N137="","",IF(ORÇAMENTO.Descricao="","DESCRIÇÃO",IF(AND($C137="S",ORÇAMENTO.Unidade=""),"UNIDADE",IF($X137&lt;0,"VALOR NEGATIVO",IF(OR(AND(TIPOORCAMENTO="Proposto",$AG137&lt;&gt;"",$AG137&gt;0,ORÇAMENTO.CustoUnitario&gt;$AG137),AND(TIPOORCAMENTO="LICITADO",ORÇAMENTO.PrecoUnitarioLicitado&gt;$AN137)),"ACIMA REF.","")))))</f>
        <v>#VALUE!</v>
      </c>
      <c r="AD137" t="str">
        <f ca="1">IF(C137&lt;=CRONO.NivelExibicao,MAX($AD$15:OFFSET(AD137,-1,0))+IF($C137&lt;&gt;1,1,MAX(1,COUNTIF([1]QCI!$A$13:$A$24,OFFSET($E137,-1,0)))),"")</f>
        <v/>
      </c>
      <c r="AE137" s="4" t="str">
        <f ca="1">IF(AND($C137="S",ORÇAMENTO.CodBarra&lt;&gt;""),IF(ORÇAMENTO.Fonte="",ORÇAMENTO.CodBarra,CONCATENATE(ORÇAMENTO.Fonte," ",ORÇAMENTO.CodBarra)))</f>
        <v>SINAPI 94213</v>
      </c>
      <c r="AF137" s="58" t="e">
        <f ca="1">IF(ISERROR(INDIRECT(ORÇAMENTO.BancoRef)),"(abra o arquivo 'Referência "&amp;Excel_BuiltIn_Database&amp;".xls)",IF(OR($C137&lt;&gt;"S",ORÇAMENTO.CodBarra=""),"(Sem Código)",IF(ISERROR(MATCH($AE137,INDIRECT(ORÇAMENTO.BancoRef),0)),"(Código não identificado nas referências)",MATCH($AE137,INDIRECT(ORÇAMENTO.BancoRef),0))))</f>
        <v>#VALUE!</v>
      </c>
      <c r="AG137" s="59" t="e">
        <f ca="1">ROUND(IF(DESONERACAO="sim",REFERENCIA.Desonerado,REFERENCIA.NaoDesonerado),2)</f>
        <v>#VALUE!</v>
      </c>
      <c r="AH137" s="60">
        <f t="shared" si="44"/>
        <v>0.2223</v>
      </c>
      <c r="AJ137" s="61">
        <v>35.21</v>
      </c>
      <c r="AL137" s="62"/>
      <c r="AM137" s="63" t="e">
        <f t="shared" ca="1" si="0"/>
        <v>#VALUE!</v>
      </c>
      <c r="AN137" s="64" t="e">
        <f t="shared" ca="1" si="45"/>
        <v>#VALUE!</v>
      </c>
    </row>
    <row r="138" spans="1:40" ht="38.25" x14ac:dyDescent="0.2">
      <c r="A138" t="str">
        <f t="shared" ref="A138:A144" si="78">CHOOSE(1+LOG(1+2*(ORÇAMENTO.Nivel="Meta")+4*(ORÇAMENTO.Nivel="Nível 2")+8*(ORÇAMENTO.Nivel="Nível 3")+16*(ORÇAMENTO.Nivel="Nível 4")+32*(ORÇAMENTO.Nivel="Serviço"),2),0,1,2,3,4,"S")</f>
        <v>S</v>
      </c>
      <c r="B138">
        <f ca="1">IF(OR(C138="s",C138=0),OFFSET(B138,-1,0),C138)</f>
        <v>3</v>
      </c>
      <c r="C138" t="str">
        <f ca="1">IF(OFFSET(C138,-1,0)="L",1,IF(OFFSET(C138,-1,0)=1,2,IF(OR(A138="s",A138=0),"S",IF(AND(OFFSET(C138,-1,0)=2,A138=4),3,IF(AND(OR(OFFSET(C138,-1,0)="s",OFFSET(C138,-1,0)=0),A138&lt;&gt;"s",A138&gt;OFFSET(B138,-1,0)),OFFSET(B138,-1,0),A138)))))</f>
        <v>S</v>
      </c>
      <c r="D138">
        <f ca="1">IF(OR(C138="S",C138=0),0,IF(ISERROR(K138),J138,SMALL(J138:K138,1)))</f>
        <v>0</v>
      </c>
      <c r="E138" t="e">
        <f ca="1">IF($C138=1,OFFSET(E138,-1,0)+MAX(1,COUNTIF([1]QCI!$A$13:$A$24,OFFSET('PLANILHA A LICITAR'!E138,-1,0))),OFFSET(E138,-1,0))</f>
        <v>#VALUE!</v>
      </c>
      <c r="F138">
        <f ca="1">IF($C138=1,0,IF($C138=2,OFFSET(F138,-1,0)+1,OFFSET(F138,-1,0)))</f>
        <v>2</v>
      </c>
      <c r="G138">
        <f ca="1">IF(AND($C138&lt;=2,$C138&lt;&gt;0),0,IF($C138=3,OFFSET(G138,-1,0)+1,OFFSET(G138,-1,0)))</f>
        <v>10</v>
      </c>
      <c r="H138">
        <f ca="1">IF(AND($C138&lt;=3,$C138&lt;&gt;0),0,IF($C138=4,OFFSET(H138,-1,0)+1,OFFSET(H138,-1,0)))</f>
        <v>0</v>
      </c>
      <c r="I138" t="e">
        <f ca="1">IF(AND($C138&lt;=4,$C138&lt;&gt;0),0,IF(AND($C138="S",$X138&gt;0),OFFSET(I138,-1,0)+1,OFFSET(I138,-1,0)))</f>
        <v>#VALUE!</v>
      </c>
      <c r="J138">
        <f t="shared" ca="1" si="59"/>
        <v>0</v>
      </c>
      <c r="K138">
        <f ca="1">IF(OR($C138="S",$C138=0),0,MATCH(OFFSET($D138,0,$C138)+IF($C138&lt;&gt;1,1,COUNTIF([1]QCI!$A$13:$A$24,'PLANILHA A LICITAR'!E138)),OFFSET($D138,1,$C138,ROW($C$145)-ROW($C138)),0))</f>
        <v>0</v>
      </c>
      <c r="L138" s="42" t="e">
        <f ca="1">IF(OR($X138&gt;0,$C138=1,$C138=2,$C138=3,$C138=4),"F","")</f>
        <v>#VALUE!</v>
      </c>
      <c r="M138" s="43" t="s">
        <v>7</v>
      </c>
      <c r="N138" s="44" t="str">
        <f ca="1">CHOOSE(1+LOG(1+2*(C138=1)+4*(C138=2)+8*(C138=3)+16*(C138=4)+32*(C138="S"),2),"","Meta","Nível 2","Nível 3","Nível 4","Serviço")</f>
        <v>Serviço</v>
      </c>
      <c r="O138" s="45" t="e">
        <f ca="1">IF(OR($C138=0,$L138=""),"-",CONCATENATE(E138&amp;".",IF(AND($A$5&gt;=2,$C138&gt;=2),F138&amp;".",""),IF(AND($A$5&gt;=3,$C138&gt;=3),G138&amp;".",""),IF(AND($A$5&gt;=4,$C138&gt;=4),H138&amp;".",""),IF($C138="S",I138&amp;".","")))</f>
        <v>#VALUE!</v>
      </c>
      <c r="P138" s="46" t="s">
        <v>62</v>
      </c>
      <c r="Q138" s="47" t="s">
        <v>221</v>
      </c>
      <c r="R138" s="48" t="s">
        <v>222</v>
      </c>
      <c r="S138" s="49" t="s">
        <v>167</v>
      </c>
      <c r="T138" s="50" t="e">
        <f ca="1">OFFSET([1]CÁLCULO!H$15,ROW($T138)-ROW(T$15),0)</f>
        <v>#VALUE!</v>
      </c>
      <c r="U138" s="51" t="e">
        <f ca="1">AG138</f>
        <v>#VALUE!</v>
      </c>
      <c r="V138" s="52" t="s">
        <v>10</v>
      </c>
      <c r="W138" s="50" t="e">
        <f ca="1">IF($C138="S",ROUND(IF(TIPOORCAMENTO="Proposto",ORÇAMENTO.CustoUnitario*(1+$AH138),ORÇAMENTO.PrecoUnitarioLicitado),15-13*$AF$10),0)</f>
        <v>#VALUE!</v>
      </c>
      <c r="X138" s="53" t="e">
        <f t="shared" ref="X138:X144" ca="1" si="79">IF($C138="S",VTOTAL1,IF($C138=0,0,ROUND(SomaAgrup,15-13*$AF$11)))</f>
        <v>#VALUE!</v>
      </c>
      <c r="Y138" s="54" t="s">
        <v>63</v>
      </c>
      <c r="Z138" t="e">
        <f ca="1">IF(AND($C138="S",$X138&gt;0),IF(ISBLANK($Y138),"RA",LEFT($Y138,2)),"")</f>
        <v>#VALUE!</v>
      </c>
      <c r="AA138" s="55" t="e">
        <f ca="1">IF($C138="S",IF($Z138="CP",$X138,IF($Z138="RA",(($X138)*[1]QCI!$AA$3),0)),SomaAgrup)</f>
        <v>#VALUE!</v>
      </c>
      <c r="AB138" s="56" t="e">
        <f t="shared" ref="AB138:AB144" ca="1" si="80">IF($C138="S",IF($Z138="OU",ROUND($X138,2),0),SomaAgrup)</f>
        <v>#VALUE!</v>
      </c>
      <c r="AC138" s="57" t="e">
        <f ca="1">IF($N138="","",IF(ORÇAMENTO.Descricao="","DESCRIÇÃO",IF(AND($C138="S",ORÇAMENTO.Unidade=""),"UNIDADE",IF($X138&lt;0,"VALOR NEGATIVO",IF(OR(AND(TIPOORCAMENTO="Proposto",$AG138&lt;&gt;"",$AG138&gt;0,ORÇAMENTO.CustoUnitario&gt;$AG138),AND(TIPOORCAMENTO="LICITADO",ORÇAMENTO.PrecoUnitarioLicitado&gt;$AN138)),"ACIMA REF.","")))))</f>
        <v>#VALUE!</v>
      </c>
      <c r="AD138" t="str">
        <f ca="1">IF(C138&lt;=CRONO.NivelExibicao,MAX($AD$15:OFFSET(AD138,-1,0))+IF($C138&lt;&gt;1,1,MAX(1,COUNTIF([1]QCI!$A$13:$A$24,OFFSET($E138,-1,0)))),"")</f>
        <v/>
      </c>
      <c r="AE138" s="4" t="str">
        <f ca="1">IF(AND($C138="S",ORÇAMENTO.CodBarra&lt;&gt;""),IF(ORÇAMENTO.Fonte="",ORÇAMENTO.CodBarra,CONCATENATE(ORÇAMENTO.Fonte," ",ORÇAMENTO.CodBarra)))</f>
        <v>SINAPI 94227</v>
      </c>
      <c r="AF138" s="58" t="e">
        <f ca="1">IF(ISERROR(INDIRECT(ORÇAMENTO.BancoRef)),"(abra o arquivo 'Referência "&amp;Excel_BuiltIn_Database&amp;".xls)",IF(OR($C138&lt;&gt;"S",ORÇAMENTO.CodBarra=""),"(Sem Código)",IF(ISERROR(MATCH($AE138,INDIRECT(ORÇAMENTO.BancoRef),0)),"(Código não identificado nas referências)",MATCH($AE138,INDIRECT(ORÇAMENTO.BancoRef),0))))</f>
        <v>#VALUE!</v>
      </c>
      <c r="AG138" s="59" t="e">
        <f ca="1">ROUND(IF(DESONERACAO="sim",REFERENCIA.Desonerado,REFERENCIA.NaoDesonerado),2)</f>
        <v>#VALUE!</v>
      </c>
      <c r="AH138" s="60">
        <f t="shared" ref="AH138:AH144" si="81">ROUND(IF(ISNUMBER(ORÇAMENTO.OpcaoBDI),ORÇAMENTO.OpcaoBDI,IF(LEFT(ORÇAMENTO.OpcaoBDI,3)="BDI",HLOOKUP(ORÇAMENTO.OpcaoBDI,$F$4:$H$5,2,FALSE),0)),15-11*$AF$9)</f>
        <v>0.2223</v>
      </c>
      <c r="AJ138" s="61">
        <v>18.86</v>
      </c>
      <c r="AL138" s="62"/>
      <c r="AM138" s="63" t="e">
        <f t="shared" ca="1" si="0"/>
        <v>#VALUE!</v>
      </c>
      <c r="AN138" s="64" t="e">
        <f t="shared" ref="AN138:AN144" ca="1" si="82">ROUND(ORÇAMENTO.CustoUnitario*(1+$AH138),2)</f>
        <v>#VALUE!</v>
      </c>
    </row>
    <row r="139" spans="1:40" x14ac:dyDescent="0.2">
      <c r="A139">
        <f t="shared" si="78"/>
        <v>3</v>
      </c>
      <c r="B139">
        <f t="shared" ref="B139:B144" ca="1" si="83">IF(OR(C139="s",C139=0),OFFSET(B139,-1,0),C139)</f>
        <v>3</v>
      </c>
      <c r="C139">
        <f t="shared" ref="C139:C144" ca="1" si="84">IF(OFFSET(C139,-1,0)="L",1,IF(OFFSET(C139,-1,0)=1,2,IF(OR(A139="s",A139=0),"S",IF(AND(OFFSET(C139,-1,0)=2,A139=4),3,IF(AND(OR(OFFSET(C139,-1,0)="s",OFFSET(C139,-1,0)=0),A139&lt;&gt;"s",A139&gt;OFFSET(B139,-1,0)),OFFSET(B139,-1,0),A139)))))</f>
        <v>3</v>
      </c>
      <c r="D139">
        <f t="shared" ref="D139:D144" ca="1" si="85">IF(OR(C139="S",C139=0),0,IF(ISERROR(K139),J139,SMALL(J139:K139,1)))</f>
        <v>3</v>
      </c>
      <c r="E139" t="e">
        <f ca="1">IF($C139=1,OFFSET(E139,-1,0)+MAX(1,COUNTIF([1]QCI!$A$13:$A$24,OFFSET('PLANILHA A LICITAR'!E139,-1,0))),OFFSET(E139,-1,0))</f>
        <v>#VALUE!</v>
      </c>
      <c r="F139">
        <f t="shared" ref="F139:F144" ca="1" si="86">IF($C139=1,0,IF($C139=2,OFFSET(F139,-1,0)+1,OFFSET(F139,-1,0)))</f>
        <v>2</v>
      </c>
      <c r="G139">
        <f t="shared" ref="G139:G144" ca="1" si="87">IF(AND($C139&lt;=2,$C139&lt;&gt;0),0,IF($C139=3,OFFSET(G139,-1,0)+1,OFFSET(G139,-1,0)))</f>
        <v>11</v>
      </c>
      <c r="H139">
        <f t="shared" ref="H139:H144" ca="1" si="88">IF(AND($C139&lt;=3,$C139&lt;&gt;0),0,IF($C139=4,OFFSET(H139,-1,0)+1,OFFSET(H139,-1,0)))</f>
        <v>0</v>
      </c>
      <c r="I139">
        <f t="shared" ref="I139:I144" ca="1" si="89">IF(AND($C139&lt;=4,$C139&lt;&gt;0),0,IF(AND($C139="S",$X139&gt;0),OFFSET(I139,-1,0)+1,OFFSET(I139,-1,0)))</f>
        <v>0</v>
      </c>
      <c r="J139">
        <f t="shared" ca="1" si="59"/>
        <v>6</v>
      </c>
      <c r="K139">
        <f ca="1">IF(OR($C139="S",$C139=0),0,MATCH(OFFSET($D139,0,$C139)+IF($C139&lt;&gt;1,1,COUNTIF([1]QCI!$A$13:$A$24,'PLANILHA A LICITAR'!E139)),OFFSET($D139,1,$C139,ROW($C$145)-ROW($C139)),0))</f>
        <v>3</v>
      </c>
      <c r="L139" s="42" t="e">
        <f t="shared" ref="L139:L144" ca="1" si="90">IF(OR($X139&gt;0,$C139=1,$C139=2,$C139=3,$C139=4),"F","")</f>
        <v>#VALUE!</v>
      </c>
      <c r="M139" s="43" t="s">
        <v>5</v>
      </c>
      <c r="N139" s="44" t="str">
        <f t="shared" ref="N139:N144" ca="1" si="91">CHOOSE(1+LOG(1+2*(C139=1)+4*(C139=2)+8*(C139=3)+16*(C139=4)+32*(C139="S"),2),"","Meta","Nível 2","Nível 3","Nível 4","Serviço")</f>
        <v>Nível 3</v>
      </c>
      <c r="O139" s="45" t="e">
        <f t="shared" ref="O139:O144" ca="1" si="92">IF(OR($C139=0,$L139=""),"-",CONCATENATE(E139&amp;".",IF(AND($A$5&gt;=2,$C139&gt;=2),F139&amp;".",""),IF(AND($A$5&gt;=3,$C139&gt;=3),G139&amp;".",""),IF(AND($A$5&gt;=4,$C139&gt;=4),H139&amp;".",""),IF($C139="S",I139&amp;".","")))</f>
        <v>#VALUE!</v>
      </c>
      <c r="P139" s="46" t="s">
        <v>62</v>
      </c>
      <c r="Q139" s="47"/>
      <c r="R139" s="48" t="s">
        <v>100</v>
      </c>
      <c r="S139" s="49" t="s">
        <v>67</v>
      </c>
      <c r="T139" s="50" t="e">
        <f ca="1">OFFSET([1]CÁLCULO!H$15,ROW($T139)-ROW(T$15),0)</f>
        <v>#VALUE!</v>
      </c>
      <c r="U139" s="51"/>
      <c r="V139" s="52" t="s">
        <v>10</v>
      </c>
      <c r="W139" s="50">
        <f ca="1">IF($C139="S",ROUND(IF(TIPOORCAMENTO="Proposto",ORÇAMENTO.CustoUnitario*(1+$AH139),ORÇAMENTO.PrecoUnitarioLicitado),15-13*$AF$10),0)</f>
        <v>0</v>
      </c>
      <c r="X139" s="53" t="e">
        <f t="shared" ca="1" si="79"/>
        <v>#VALUE!</v>
      </c>
      <c r="Y139" s="54" t="s">
        <v>63</v>
      </c>
      <c r="Z139" t="e">
        <f t="shared" ref="Z139:Z144" ca="1" si="93">IF(AND($C139="S",$X139&gt;0),IF(ISBLANK($Y139),"RA",LEFT($Y139,2)),"")</f>
        <v>#VALUE!</v>
      </c>
      <c r="AA139" s="55" t="e">
        <f ca="1">IF($C139="S",IF($Z139="CP",$X139,IF($Z139="RA",(($X139)*[1]QCI!$AA$3),0)),SomaAgrup)</f>
        <v>#VALUE!</v>
      </c>
      <c r="AB139" s="56" t="e">
        <f t="shared" ca="1" si="80"/>
        <v>#VALUE!</v>
      </c>
      <c r="AC139" s="57" t="e">
        <f ca="1">IF($N139="","",IF(ORÇAMENTO.Descricao="","DESCRIÇÃO",IF(AND($C139="S",ORÇAMENTO.Unidade=""),"UNIDADE",IF($X139&lt;0,"VALOR NEGATIVO",IF(OR(AND(TIPOORCAMENTO="Proposto",$AG139&lt;&gt;"",$AG139&gt;0,ORÇAMENTO.CustoUnitario&gt;$AG139),AND(TIPOORCAMENTO="LICITADO",ORÇAMENTO.PrecoUnitarioLicitado&gt;$AN139)),"ACIMA REF.","")))))</f>
        <v>#VALUE!</v>
      </c>
      <c r="AD139" t="e">
        <f ca="1">IF(C139&lt;=CRONO.NivelExibicao,MAX($AD$15:OFFSET(AD139,-1,0))+IF($C139&lt;&gt;1,1,MAX(1,COUNTIF([1]QCI!$A$13:$A$24,OFFSET($E139,-1,0)))),"")</f>
        <v>#VALUE!</v>
      </c>
      <c r="AE139" s="4" t="b">
        <f ca="1">IF(AND($C139="S",ORÇAMENTO.CodBarra&lt;&gt;""),IF(ORÇAMENTO.Fonte="",ORÇAMENTO.CodBarra,CONCATENATE(ORÇAMENTO.Fonte," ",ORÇAMENTO.CodBarra)))</f>
        <v>0</v>
      </c>
      <c r="AF139" s="58" t="e">
        <f ca="1">IF(ISERROR(INDIRECT(ORÇAMENTO.BancoRef)),"(abra o arquivo 'Referência "&amp;Excel_BuiltIn_Database&amp;".xls)",IF(OR($C139&lt;&gt;"S",ORÇAMENTO.CodBarra=""),"(Sem Código)",IF(ISERROR(MATCH($AE139,INDIRECT(ORÇAMENTO.BancoRef),0)),"(Código não identificado nas referências)",MATCH($AE139,INDIRECT(ORÇAMENTO.BancoRef),0))))</f>
        <v>#VALUE!</v>
      </c>
      <c r="AG139" s="59" t="e">
        <f ca="1">ROUND(IF(DESONERACAO="sim",REFERENCIA.Desonerado,REFERENCIA.NaoDesonerado),2)</f>
        <v>#VALUE!</v>
      </c>
      <c r="AH139" s="60">
        <f t="shared" si="81"/>
        <v>0.2223</v>
      </c>
      <c r="AJ139" s="61"/>
      <c r="AL139" s="62"/>
      <c r="AM139" s="63" t="e">
        <f t="shared" ca="1" si="0"/>
        <v>#VALUE!</v>
      </c>
      <c r="AN139" s="64">
        <f t="shared" si="82"/>
        <v>0</v>
      </c>
    </row>
    <row r="140" spans="1:40" ht="38.25" x14ac:dyDescent="0.2">
      <c r="A140" t="str">
        <f t="shared" si="78"/>
        <v>S</v>
      </c>
      <c r="B140">
        <f t="shared" ca="1" si="83"/>
        <v>3</v>
      </c>
      <c r="C140" t="str">
        <f t="shared" ca="1" si="84"/>
        <v>S</v>
      </c>
      <c r="D140">
        <f t="shared" ca="1" si="85"/>
        <v>0</v>
      </c>
      <c r="E140" t="e">
        <f ca="1">IF($C140=1,OFFSET(E140,-1,0)+MAX(1,COUNTIF([1]QCI!$A$13:$A$24,OFFSET('PLANILHA A LICITAR'!E140,-1,0))),OFFSET(E140,-1,0))</f>
        <v>#VALUE!</v>
      </c>
      <c r="F140">
        <f t="shared" ca="1" si="86"/>
        <v>2</v>
      </c>
      <c r="G140">
        <f t="shared" ca="1" si="87"/>
        <v>11</v>
      </c>
      <c r="H140">
        <f t="shared" ca="1" si="88"/>
        <v>0</v>
      </c>
      <c r="I140" t="e">
        <f t="shared" ca="1" si="89"/>
        <v>#VALUE!</v>
      </c>
      <c r="J140">
        <f t="shared" ca="1" si="59"/>
        <v>0</v>
      </c>
      <c r="K140">
        <f ca="1">IF(OR($C140="S",$C140=0),0,MATCH(OFFSET($D140,0,$C140)+IF($C140&lt;&gt;1,1,COUNTIF([1]QCI!$A$13:$A$24,'PLANILHA A LICITAR'!E140)),OFFSET($D140,1,$C140,ROW($C$145)-ROW($C140)),0))</f>
        <v>0</v>
      </c>
      <c r="L140" s="42" t="e">
        <f t="shared" ca="1" si="90"/>
        <v>#VALUE!</v>
      </c>
      <c r="M140" s="43" t="s">
        <v>7</v>
      </c>
      <c r="N140" s="44" t="str">
        <f t="shared" ca="1" si="91"/>
        <v>Serviço</v>
      </c>
      <c r="O140" s="45" t="e">
        <f t="shared" ca="1" si="92"/>
        <v>#VALUE!</v>
      </c>
      <c r="P140" s="46" t="s">
        <v>62</v>
      </c>
      <c r="Q140" s="47">
        <v>87878</v>
      </c>
      <c r="R140" s="48" t="s">
        <v>101</v>
      </c>
      <c r="S140" s="49" t="s">
        <v>75</v>
      </c>
      <c r="T140" s="50" t="e">
        <f ca="1">OFFSET([1]CÁLCULO!H$15,ROW($T140)-ROW(T$15),0)</f>
        <v>#VALUE!</v>
      </c>
      <c r="U140" s="51" t="e">
        <f ca="1">AG140</f>
        <v>#VALUE!</v>
      </c>
      <c r="V140" s="52" t="s">
        <v>10</v>
      </c>
      <c r="W140" s="50" t="e">
        <f ca="1">IF($C140="S",ROUND(IF(TIPOORCAMENTO="Proposto",ORÇAMENTO.CustoUnitario*(1+$AH140),ORÇAMENTO.PrecoUnitarioLicitado),15-13*$AF$10),0)</f>
        <v>#VALUE!</v>
      </c>
      <c r="X140" s="53" t="e">
        <f t="shared" ca="1" si="79"/>
        <v>#VALUE!</v>
      </c>
      <c r="Y140" s="54" t="s">
        <v>63</v>
      </c>
      <c r="Z140" t="e">
        <f t="shared" ca="1" si="93"/>
        <v>#VALUE!</v>
      </c>
      <c r="AA140" s="55" t="e">
        <f ca="1">IF($C140="S",IF($Z140="CP",$X140,IF($Z140="RA",(($X140)*[1]QCI!$AA$3),0)),SomaAgrup)</f>
        <v>#VALUE!</v>
      </c>
      <c r="AB140" s="56" t="e">
        <f t="shared" ca="1" si="80"/>
        <v>#VALUE!</v>
      </c>
      <c r="AC140" s="57" t="e">
        <f ca="1">IF($N140="","",IF(ORÇAMENTO.Descricao="","DESCRIÇÃO",IF(AND($C140="S",ORÇAMENTO.Unidade=""),"UNIDADE",IF($X140&lt;0,"VALOR NEGATIVO",IF(OR(AND(TIPOORCAMENTO="Proposto",$AG140&lt;&gt;"",$AG140&gt;0,ORÇAMENTO.CustoUnitario&gt;$AG140),AND(TIPOORCAMENTO="LICITADO",ORÇAMENTO.PrecoUnitarioLicitado&gt;$AN140)),"ACIMA REF.","")))))</f>
        <v>#VALUE!</v>
      </c>
      <c r="AD140" t="str">
        <f ca="1">IF(C140&lt;=CRONO.NivelExibicao,MAX($AD$15:OFFSET(AD140,-1,0))+IF($C140&lt;&gt;1,1,MAX(1,COUNTIF([1]QCI!$A$13:$A$24,OFFSET($E140,-1,0)))),"")</f>
        <v/>
      </c>
      <c r="AE140" s="4" t="str">
        <f ca="1">IF(AND($C140="S",ORÇAMENTO.CodBarra&lt;&gt;""),IF(ORÇAMENTO.Fonte="",ORÇAMENTO.CodBarra,CONCATENATE(ORÇAMENTO.Fonte," ",ORÇAMENTO.CodBarra)))</f>
        <v>SINAPI 87878</v>
      </c>
      <c r="AF140" s="58" t="e">
        <f ca="1">IF(ISERROR(INDIRECT(ORÇAMENTO.BancoRef)),"(abra o arquivo 'Referência "&amp;Excel_BuiltIn_Database&amp;".xls)",IF(OR($C140&lt;&gt;"S",ORÇAMENTO.CodBarra=""),"(Sem Código)",IF(ISERROR(MATCH($AE140,INDIRECT(ORÇAMENTO.BancoRef),0)),"(Código não identificado nas referências)",MATCH($AE140,INDIRECT(ORÇAMENTO.BancoRef),0))))</f>
        <v>#VALUE!</v>
      </c>
      <c r="AG140" s="59" t="e">
        <f ca="1">ROUND(IF(DESONERACAO="sim",REFERENCIA.Desonerado,REFERENCIA.NaoDesonerado),2)</f>
        <v>#VALUE!</v>
      </c>
      <c r="AH140" s="60">
        <f t="shared" si="81"/>
        <v>0.2223</v>
      </c>
      <c r="AJ140" s="61">
        <v>37.19</v>
      </c>
      <c r="AL140" s="62"/>
      <c r="AM140" s="63" t="e">
        <f t="shared" ref="AM140:AM144" ca="1" si="94">$X140</f>
        <v>#VALUE!</v>
      </c>
      <c r="AN140" s="64" t="e">
        <f t="shared" ca="1" si="82"/>
        <v>#VALUE!</v>
      </c>
    </row>
    <row r="141" spans="1:40" ht="51" x14ac:dyDescent="0.2">
      <c r="A141" t="str">
        <f t="shared" si="78"/>
        <v>S</v>
      </c>
      <c r="B141">
        <f t="shared" ca="1" si="83"/>
        <v>3</v>
      </c>
      <c r="C141" t="str">
        <f t="shared" ca="1" si="84"/>
        <v>S</v>
      </c>
      <c r="D141">
        <f t="shared" ca="1" si="85"/>
        <v>0</v>
      </c>
      <c r="E141" t="e">
        <f ca="1">IF($C141=1,OFFSET(E141,-1,0)+MAX(1,COUNTIF([1]QCI!$A$13:$A$24,OFFSET('PLANILHA A LICITAR'!E141,-1,0))),OFFSET(E141,-1,0))</f>
        <v>#VALUE!</v>
      </c>
      <c r="F141">
        <f t="shared" ca="1" si="86"/>
        <v>2</v>
      </c>
      <c r="G141">
        <f t="shared" ca="1" si="87"/>
        <v>11</v>
      </c>
      <c r="H141">
        <f t="shared" ca="1" si="88"/>
        <v>0</v>
      </c>
      <c r="I141" t="e">
        <f t="shared" ca="1" si="89"/>
        <v>#VALUE!</v>
      </c>
      <c r="J141">
        <f t="shared" ca="1" si="59"/>
        <v>0</v>
      </c>
      <c r="K141">
        <f ca="1">IF(OR($C141="S",$C141=0),0,MATCH(OFFSET($D141,0,$C141)+IF($C141&lt;&gt;1,1,COUNTIF([1]QCI!$A$13:$A$24,'PLANILHA A LICITAR'!E141)),OFFSET($D141,1,$C141,ROW($C$145)-ROW($C141)),0))</f>
        <v>0</v>
      </c>
      <c r="L141" s="42" t="e">
        <f t="shared" ca="1" si="90"/>
        <v>#VALUE!</v>
      </c>
      <c r="M141" s="43" t="s">
        <v>7</v>
      </c>
      <c r="N141" s="44" t="str">
        <f t="shared" ca="1" si="91"/>
        <v>Serviço</v>
      </c>
      <c r="O141" s="45" t="e">
        <f t="shared" ca="1" si="92"/>
        <v>#VALUE!</v>
      </c>
      <c r="P141" s="46" t="s">
        <v>62</v>
      </c>
      <c r="Q141" s="47">
        <v>87529</v>
      </c>
      <c r="R141" s="48" t="s">
        <v>102</v>
      </c>
      <c r="S141" s="49" t="s">
        <v>75</v>
      </c>
      <c r="T141" s="50" t="e">
        <f ca="1">OFFSET([1]CÁLCULO!H$15,ROW($T141)-ROW(T$15),0)</f>
        <v>#VALUE!</v>
      </c>
      <c r="U141" s="51" t="e">
        <f ca="1">AG141</f>
        <v>#VALUE!</v>
      </c>
      <c r="V141" s="52" t="s">
        <v>10</v>
      </c>
      <c r="W141" s="50" t="e">
        <f ca="1">IF($C141="S",ROUND(IF(TIPOORCAMENTO="Proposto",ORÇAMENTO.CustoUnitario*(1+$AH141),ORÇAMENTO.PrecoUnitarioLicitado),15-13*$AF$10),0)</f>
        <v>#VALUE!</v>
      </c>
      <c r="X141" s="53" t="e">
        <f t="shared" ca="1" si="79"/>
        <v>#VALUE!</v>
      </c>
      <c r="Y141" s="54" t="s">
        <v>63</v>
      </c>
      <c r="Z141" t="e">
        <f t="shared" ca="1" si="93"/>
        <v>#VALUE!</v>
      </c>
      <c r="AA141" s="55" t="e">
        <f ca="1">IF($C141="S",IF($Z141="CP",$X141,IF($Z141="RA",(($X141)*[1]QCI!$AA$3),0)),SomaAgrup)</f>
        <v>#VALUE!</v>
      </c>
      <c r="AB141" s="56" t="e">
        <f t="shared" ca="1" si="80"/>
        <v>#VALUE!</v>
      </c>
      <c r="AC141" s="57" t="e">
        <f ca="1">IF($N141="","",IF(ORÇAMENTO.Descricao="","DESCRIÇÃO",IF(AND($C141="S",ORÇAMENTO.Unidade=""),"UNIDADE",IF($X141&lt;0,"VALOR NEGATIVO",IF(OR(AND(TIPOORCAMENTO="Proposto",$AG141&lt;&gt;"",$AG141&gt;0,ORÇAMENTO.CustoUnitario&gt;$AG141),AND(TIPOORCAMENTO="LICITADO",ORÇAMENTO.PrecoUnitarioLicitado&gt;$AN141)),"ACIMA REF.","")))))</f>
        <v>#VALUE!</v>
      </c>
      <c r="AD141" t="str">
        <f ca="1">IF(C141&lt;=CRONO.NivelExibicao,MAX($AD$15:OFFSET(AD141,-1,0))+IF($C141&lt;&gt;1,1,MAX(1,COUNTIF([1]QCI!$A$13:$A$24,OFFSET($E141,-1,0)))),"")</f>
        <v/>
      </c>
      <c r="AE141" s="4" t="str">
        <f ca="1">IF(AND($C141="S",ORÇAMENTO.CodBarra&lt;&gt;""),IF(ORÇAMENTO.Fonte="",ORÇAMENTO.CodBarra,CONCATENATE(ORÇAMENTO.Fonte," ",ORÇAMENTO.CodBarra)))</f>
        <v>SINAPI 87529</v>
      </c>
      <c r="AF141" s="58" t="e">
        <f ca="1">IF(ISERROR(INDIRECT(ORÇAMENTO.BancoRef)),"(abra o arquivo 'Referência "&amp;Excel_BuiltIn_Database&amp;".xls)",IF(OR($C141&lt;&gt;"S",ORÇAMENTO.CodBarra=""),"(Sem Código)",IF(ISERROR(MATCH($AE141,INDIRECT(ORÇAMENTO.BancoRef),0)),"(Código não identificado nas referências)",MATCH($AE141,INDIRECT(ORÇAMENTO.BancoRef),0))))</f>
        <v>#VALUE!</v>
      </c>
      <c r="AG141" s="59" t="e">
        <f ca="1">ROUND(IF(DESONERACAO="sim",REFERENCIA.Desonerado,REFERENCIA.NaoDesonerado),2)</f>
        <v>#VALUE!</v>
      </c>
      <c r="AH141" s="60">
        <f t="shared" si="81"/>
        <v>0.2223</v>
      </c>
      <c r="AJ141" s="61">
        <v>37.19</v>
      </c>
      <c r="AL141" s="62"/>
      <c r="AM141" s="63" t="e">
        <f t="shared" ca="1" si="94"/>
        <v>#VALUE!</v>
      </c>
      <c r="AN141" s="64" t="e">
        <f t="shared" ca="1" si="82"/>
        <v>#VALUE!</v>
      </c>
    </row>
    <row r="142" spans="1:40" x14ac:dyDescent="0.2">
      <c r="A142">
        <f t="shared" si="78"/>
        <v>3</v>
      </c>
      <c r="B142">
        <f t="shared" ca="1" si="83"/>
        <v>3</v>
      </c>
      <c r="C142">
        <f t="shared" ca="1" si="84"/>
        <v>3</v>
      </c>
      <c r="D142">
        <f t="shared" ca="1" si="85"/>
        <v>3</v>
      </c>
      <c r="E142" t="e">
        <f ca="1">IF($C142=1,OFFSET(E142,-1,0)+MAX(1,COUNTIF([1]QCI!$A$13:$A$24,OFFSET('PLANILHA A LICITAR'!E142,-1,0))),OFFSET(E142,-1,0))</f>
        <v>#VALUE!</v>
      </c>
      <c r="F142">
        <f t="shared" ca="1" si="86"/>
        <v>2</v>
      </c>
      <c r="G142">
        <f t="shared" ca="1" si="87"/>
        <v>12</v>
      </c>
      <c r="H142">
        <f t="shared" ca="1" si="88"/>
        <v>0</v>
      </c>
      <c r="I142">
        <f t="shared" ca="1" si="89"/>
        <v>0</v>
      </c>
      <c r="J142">
        <f t="shared" ca="1" si="59"/>
        <v>3</v>
      </c>
      <c r="K142" t="e">
        <f ca="1">IF(OR($C142="S",$C142=0),0,MATCH(OFFSET($D142,0,$C142)+IF($C142&lt;&gt;1,1,COUNTIF([1]QCI!$A$13:$A$24,'PLANILHA A LICITAR'!E142)),OFFSET($D142,1,$C142,ROW($C$145)-ROW($C142)),0))</f>
        <v>#N/A</v>
      </c>
      <c r="L142" s="42" t="e">
        <f t="shared" ca="1" si="90"/>
        <v>#VALUE!</v>
      </c>
      <c r="M142" s="43" t="s">
        <v>5</v>
      </c>
      <c r="N142" s="44" t="str">
        <f t="shared" ca="1" si="91"/>
        <v>Nível 3</v>
      </c>
      <c r="O142" s="45" t="e">
        <f t="shared" ca="1" si="92"/>
        <v>#VALUE!</v>
      </c>
      <c r="P142" s="46" t="s">
        <v>62</v>
      </c>
      <c r="Q142" s="47"/>
      <c r="R142" s="48" t="s">
        <v>112</v>
      </c>
      <c r="S142" s="49" t="s">
        <v>67</v>
      </c>
      <c r="T142" s="50" t="e">
        <f ca="1">OFFSET([1]CÁLCULO!H$15,ROW($T142)-ROW(T$15),0)</f>
        <v>#VALUE!</v>
      </c>
      <c r="U142" s="51"/>
      <c r="V142" s="52" t="s">
        <v>10</v>
      </c>
      <c r="W142" s="50">
        <f ca="1">IF($C142="S",ROUND(IF(TIPOORCAMENTO="Proposto",ORÇAMENTO.CustoUnitario*(1+$AH142),ORÇAMENTO.PrecoUnitarioLicitado),15-13*$AF$10),0)</f>
        <v>0</v>
      </c>
      <c r="X142" s="53" t="e">
        <f t="shared" ca="1" si="79"/>
        <v>#VALUE!</v>
      </c>
      <c r="Y142" s="54" t="s">
        <v>63</v>
      </c>
      <c r="Z142" t="e">
        <f t="shared" ca="1" si="93"/>
        <v>#VALUE!</v>
      </c>
      <c r="AA142" s="55" t="e">
        <f ca="1">IF($C142="S",IF($Z142="CP",$X142,IF($Z142="RA",(($X142)*[1]QCI!$AA$3),0)),SomaAgrup)</f>
        <v>#VALUE!</v>
      </c>
      <c r="AB142" s="56" t="e">
        <f t="shared" ca="1" si="80"/>
        <v>#VALUE!</v>
      </c>
      <c r="AC142" s="57" t="e">
        <f ca="1">IF($N142="","",IF(ORÇAMENTO.Descricao="","DESCRIÇÃO",IF(AND($C142="S",ORÇAMENTO.Unidade=""),"UNIDADE",IF($X142&lt;0,"VALOR NEGATIVO",IF(OR(AND(TIPOORCAMENTO="Proposto",$AG142&lt;&gt;"",$AG142&gt;0,ORÇAMENTO.CustoUnitario&gt;$AG142),AND(TIPOORCAMENTO="LICITADO",ORÇAMENTO.PrecoUnitarioLicitado&gt;$AN142)),"ACIMA REF.","")))))</f>
        <v>#VALUE!</v>
      </c>
      <c r="AD142" t="e">
        <f ca="1">IF(C142&lt;=CRONO.NivelExibicao,MAX($AD$15:OFFSET(AD142,-1,0))+IF($C142&lt;&gt;1,1,MAX(1,COUNTIF([1]QCI!$A$13:$A$24,OFFSET($E142,-1,0)))),"")</f>
        <v>#VALUE!</v>
      </c>
      <c r="AE142" s="4" t="b">
        <f ca="1">IF(AND($C142="S",ORÇAMENTO.CodBarra&lt;&gt;""),IF(ORÇAMENTO.Fonte="",ORÇAMENTO.CodBarra,CONCATENATE(ORÇAMENTO.Fonte," ",ORÇAMENTO.CodBarra)))</f>
        <v>0</v>
      </c>
      <c r="AF142" s="58" t="e">
        <f ca="1">IF(ISERROR(INDIRECT(ORÇAMENTO.BancoRef)),"(abra o arquivo 'Referência "&amp;Excel_BuiltIn_Database&amp;".xls)",IF(OR($C142&lt;&gt;"S",ORÇAMENTO.CodBarra=""),"(Sem Código)",IF(ISERROR(MATCH($AE142,INDIRECT(ORÇAMENTO.BancoRef),0)),"(Código não identificado nas referências)",MATCH($AE142,INDIRECT(ORÇAMENTO.BancoRef),0))))</f>
        <v>#VALUE!</v>
      </c>
      <c r="AG142" s="59" t="e">
        <f ca="1">ROUND(IF(DESONERACAO="sim",REFERENCIA.Desonerado,REFERENCIA.NaoDesonerado),2)</f>
        <v>#VALUE!</v>
      </c>
      <c r="AH142" s="60">
        <f t="shared" si="81"/>
        <v>0.2223</v>
      </c>
      <c r="AJ142" s="61"/>
      <c r="AL142" s="62"/>
      <c r="AM142" s="63" t="e">
        <f t="shared" ca="1" si="94"/>
        <v>#VALUE!</v>
      </c>
      <c r="AN142" s="64">
        <f t="shared" si="82"/>
        <v>0</v>
      </c>
    </row>
    <row r="143" spans="1:40" ht="25.5" x14ac:dyDescent="0.2">
      <c r="A143" t="str">
        <f t="shared" si="78"/>
        <v>S</v>
      </c>
      <c r="B143">
        <f t="shared" ca="1" si="83"/>
        <v>3</v>
      </c>
      <c r="C143" t="str">
        <f t="shared" ca="1" si="84"/>
        <v>S</v>
      </c>
      <c r="D143">
        <f t="shared" ca="1" si="85"/>
        <v>0</v>
      </c>
      <c r="E143" t="e">
        <f ca="1">IF($C143=1,OFFSET(E143,-1,0)+MAX(1,COUNTIF([1]QCI!$A$13:$A$24,OFFSET('PLANILHA A LICITAR'!E143,-1,0))),OFFSET(E143,-1,0))</f>
        <v>#VALUE!</v>
      </c>
      <c r="F143">
        <f t="shared" ca="1" si="86"/>
        <v>2</v>
      </c>
      <c r="G143">
        <f t="shared" ca="1" si="87"/>
        <v>12</v>
      </c>
      <c r="H143">
        <f t="shared" ca="1" si="88"/>
        <v>0</v>
      </c>
      <c r="I143" t="e">
        <f t="shared" ca="1" si="89"/>
        <v>#VALUE!</v>
      </c>
      <c r="J143">
        <f t="shared" ca="1" si="59"/>
        <v>0</v>
      </c>
      <c r="K143">
        <f ca="1">IF(OR($C143="S",$C143=0),0,MATCH(OFFSET($D143,0,$C143)+IF($C143&lt;&gt;1,1,COUNTIF([1]QCI!$A$13:$A$24,'PLANILHA A LICITAR'!E143)),OFFSET($D143,1,$C143,ROW($C$145)-ROW($C143)),0))</f>
        <v>0</v>
      </c>
      <c r="L143" s="42" t="e">
        <f t="shared" ca="1" si="90"/>
        <v>#VALUE!</v>
      </c>
      <c r="M143" s="43" t="s">
        <v>7</v>
      </c>
      <c r="N143" s="44" t="str">
        <f t="shared" ca="1" si="91"/>
        <v>Serviço</v>
      </c>
      <c r="O143" s="45" t="e">
        <f t="shared" ca="1" si="92"/>
        <v>#VALUE!</v>
      </c>
      <c r="P143" s="46" t="s">
        <v>62</v>
      </c>
      <c r="Q143" s="47" t="s">
        <v>113</v>
      </c>
      <c r="R143" s="48" t="s">
        <v>114</v>
      </c>
      <c r="S143" s="49" t="s">
        <v>75</v>
      </c>
      <c r="T143" s="50" t="e">
        <f ca="1">OFFSET([1]CÁLCULO!H$15,ROW($T143)-ROW(T$15),0)</f>
        <v>#VALUE!</v>
      </c>
      <c r="U143" s="51" t="e">
        <f ca="1">AG143</f>
        <v>#VALUE!</v>
      </c>
      <c r="V143" s="52" t="s">
        <v>10</v>
      </c>
      <c r="W143" s="50" t="e">
        <f ca="1">IF($C143="S",ROUND(IF(TIPOORCAMENTO="Proposto",ORÇAMENTO.CustoUnitario*(1+$AH143),ORÇAMENTO.PrecoUnitarioLicitado),15-13*$AF$10),0)</f>
        <v>#VALUE!</v>
      </c>
      <c r="X143" s="53" t="e">
        <f t="shared" ca="1" si="79"/>
        <v>#VALUE!</v>
      </c>
      <c r="Y143" s="54" t="s">
        <v>63</v>
      </c>
      <c r="Z143" t="e">
        <f t="shared" ca="1" si="93"/>
        <v>#VALUE!</v>
      </c>
      <c r="AA143" s="55" t="e">
        <f ca="1">IF($C143="S",IF($Z143="CP",$X143,IF($Z143="RA",(($X143)*[1]QCI!$AA$3),0)),SomaAgrup)</f>
        <v>#VALUE!</v>
      </c>
      <c r="AB143" s="56" t="e">
        <f t="shared" ca="1" si="80"/>
        <v>#VALUE!</v>
      </c>
      <c r="AC143" s="57" t="e">
        <f ca="1">IF($N143="","",IF(ORÇAMENTO.Descricao="","DESCRIÇÃO",IF(AND($C143="S",ORÇAMENTO.Unidade=""),"UNIDADE",IF($X143&lt;0,"VALOR NEGATIVO",IF(OR(AND(TIPOORCAMENTO="Proposto",$AG143&lt;&gt;"",$AG143&gt;0,ORÇAMENTO.CustoUnitario&gt;$AG143),AND(TIPOORCAMENTO="LICITADO",ORÇAMENTO.PrecoUnitarioLicitado&gt;$AN143)),"ACIMA REF.","")))))</f>
        <v>#VALUE!</v>
      </c>
      <c r="AD143" t="str">
        <f ca="1">IF(C143&lt;=CRONO.NivelExibicao,MAX($AD$15:OFFSET(AD143,-1,0))+IF($C143&lt;&gt;1,1,MAX(1,COUNTIF([1]QCI!$A$13:$A$24,OFFSET($E143,-1,0)))),"")</f>
        <v/>
      </c>
      <c r="AE143" s="4" t="str">
        <f ca="1">IF(AND($C143="S",ORÇAMENTO.CodBarra&lt;&gt;""),IF(ORÇAMENTO.Fonte="",ORÇAMENTO.CodBarra,CONCATENATE(ORÇAMENTO.Fonte," ",ORÇAMENTO.CodBarra)))</f>
        <v>SINAPI 88489</v>
      </c>
      <c r="AF143" s="58" t="e">
        <f ca="1">IF(ISERROR(INDIRECT(ORÇAMENTO.BancoRef)),"(abra o arquivo 'Referência "&amp;Excel_BuiltIn_Database&amp;".xls)",IF(OR($C143&lt;&gt;"S",ORÇAMENTO.CodBarra=""),"(Sem Código)",IF(ISERROR(MATCH($AE143,INDIRECT(ORÇAMENTO.BancoRef),0)),"(Código não identificado nas referências)",MATCH($AE143,INDIRECT(ORÇAMENTO.BancoRef),0))))</f>
        <v>#VALUE!</v>
      </c>
      <c r="AG143" s="59" t="e">
        <f ca="1">ROUND(IF(DESONERACAO="sim",REFERENCIA.Desonerado,REFERENCIA.NaoDesonerado),2)</f>
        <v>#VALUE!</v>
      </c>
      <c r="AH143" s="60">
        <f t="shared" si="81"/>
        <v>0.2223</v>
      </c>
      <c r="AJ143" s="61">
        <v>37.19</v>
      </c>
      <c r="AL143" s="62"/>
      <c r="AM143" s="63" t="e">
        <f t="shared" ca="1" si="94"/>
        <v>#VALUE!</v>
      </c>
      <c r="AN143" s="64" t="e">
        <f t="shared" ca="1" si="82"/>
        <v>#VALUE!</v>
      </c>
    </row>
    <row r="144" spans="1:40" ht="25.5" x14ac:dyDescent="0.2">
      <c r="A144" t="str">
        <f t="shared" si="78"/>
        <v>S</v>
      </c>
      <c r="B144">
        <f t="shared" ca="1" si="83"/>
        <v>3</v>
      </c>
      <c r="C144" t="str">
        <f t="shared" ca="1" si="84"/>
        <v>S</v>
      </c>
      <c r="D144">
        <f t="shared" ca="1" si="85"/>
        <v>0</v>
      </c>
      <c r="E144" t="e">
        <f ca="1">IF($C144=1,OFFSET(E144,-1,0)+MAX(1,COUNTIF([1]QCI!$A$13:$A$24,OFFSET('PLANILHA A LICITAR'!E144,-1,0))),OFFSET(E144,-1,0))</f>
        <v>#VALUE!</v>
      </c>
      <c r="F144">
        <f t="shared" ca="1" si="86"/>
        <v>2</v>
      </c>
      <c r="G144">
        <f t="shared" ca="1" si="87"/>
        <v>12</v>
      </c>
      <c r="H144">
        <f t="shared" ca="1" si="88"/>
        <v>0</v>
      </c>
      <c r="I144" t="e">
        <f t="shared" ca="1" si="89"/>
        <v>#VALUE!</v>
      </c>
      <c r="J144">
        <f t="shared" ref="J144" ca="1" si="95">IF(OR($C144="S",$C144=0),0,MATCH(0,OFFSET($D144,1,$C144,ROW($C$145)-ROW($C144)),0))</f>
        <v>0</v>
      </c>
      <c r="K144">
        <f ca="1">IF(OR($C144="S",$C144=0),0,MATCH(OFFSET($D144,0,$C144)+IF($C144&lt;&gt;1,1,COUNTIF([1]QCI!$A$13:$A$24,'PLANILHA A LICITAR'!E144)),OFFSET($D144,1,$C144,ROW($C$145)-ROW($C144)),0))</f>
        <v>0</v>
      </c>
      <c r="L144" s="42" t="e">
        <f t="shared" ca="1" si="90"/>
        <v>#VALUE!</v>
      </c>
      <c r="M144" s="43" t="s">
        <v>7</v>
      </c>
      <c r="N144" s="44" t="str">
        <f t="shared" ca="1" si="91"/>
        <v>Serviço</v>
      </c>
      <c r="O144" s="45" t="e">
        <f t="shared" ca="1" si="92"/>
        <v>#VALUE!</v>
      </c>
      <c r="P144" s="46" t="s">
        <v>62</v>
      </c>
      <c r="Q144" s="47" t="s">
        <v>115</v>
      </c>
      <c r="R144" s="48" t="s">
        <v>116</v>
      </c>
      <c r="S144" s="49" t="s">
        <v>75</v>
      </c>
      <c r="T144" s="50" t="e">
        <f ca="1">OFFSET([1]CÁLCULO!H$15,ROW($T144)-ROW(T$15),0)</f>
        <v>#VALUE!</v>
      </c>
      <c r="U144" s="51" t="e">
        <f ca="1">AG144</f>
        <v>#VALUE!</v>
      </c>
      <c r="V144" s="52" t="s">
        <v>10</v>
      </c>
      <c r="W144" s="50" t="e">
        <f ca="1">IF($C144="S",ROUND(IF(TIPOORCAMENTO="Proposto",ORÇAMENTO.CustoUnitario*(1+$AH144),ORÇAMENTO.PrecoUnitarioLicitado),15-13*$AF$10),0)</f>
        <v>#VALUE!</v>
      </c>
      <c r="X144" s="53" t="e">
        <f t="shared" ca="1" si="79"/>
        <v>#VALUE!</v>
      </c>
      <c r="Y144" s="54" t="s">
        <v>63</v>
      </c>
      <c r="Z144" t="e">
        <f t="shared" ca="1" si="93"/>
        <v>#VALUE!</v>
      </c>
      <c r="AA144" s="55" t="e">
        <f ca="1">IF($C144="S",IF($Z144="CP",$X144,IF($Z144="RA",(($X144)*[1]QCI!$AA$3),0)),SomaAgrup)</f>
        <v>#VALUE!</v>
      </c>
      <c r="AB144" s="56" t="e">
        <f t="shared" ca="1" si="80"/>
        <v>#VALUE!</v>
      </c>
      <c r="AC144" s="57" t="e">
        <f ca="1">IF($N144="","",IF(ORÇAMENTO.Descricao="","DESCRIÇÃO",IF(AND($C144="S",ORÇAMENTO.Unidade=""),"UNIDADE",IF($X144&lt;0,"VALOR NEGATIVO",IF(OR(AND(TIPOORCAMENTO="Proposto",$AG144&lt;&gt;"",$AG144&gt;0,ORÇAMENTO.CustoUnitario&gt;$AG144),AND(TIPOORCAMENTO="LICITADO",ORÇAMENTO.PrecoUnitarioLicitado&gt;$AN144)),"ACIMA REF.","")))))</f>
        <v>#VALUE!</v>
      </c>
      <c r="AD144" t="str">
        <f ca="1">IF(C144&lt;=CRONO.NivelExibicao,MAX($AD$15:OFFSET(AD144,-1,0))+IF($C144&lt;&gt;1,1,MAX(1,COUNTIF([1]QCI!$A$13:$A$24,OFFSET($E144,-1,0)))),"")</f>
        <v/>
      </c>
      <c r="AE144" s="4" t="str">
        <f ca="1">IF(AND($C144="S",ORÇAMENTO.CodBarra&lt;&gt;""),IF(ORÇAMENTO.Fonte="",ORÇAMENTO.CodBarra,CONCATENATE(ORÇAMENTO.Fonte," ",ORÇAMENTO.CodBarra)))</f>
        <v>SINAPI 102491</v>
      </c>
      <c r="AF144" s="58" t="e">
        <f ca="1">IF(ISERROR(INDIRECT(ORÇAMENTO.BancoRef)),"(abra o arquivo 'Referência "&amp;Excel_BuiltIn_Database&amp;".xls)",IF(OR($C144&lt;&gt;"S",ORÇAMENTO.CodBarra=""),"(Sem Código)",IF(ISERROR(MATCH($AE144,INDIRECT(ORÇAMENTO.BancoRef),0)),"(Código não identificado nas referências)",MATCH($AE144,INDIRECT(ORÇAMENTO.BancoRef),0))))</f>
        <v>#VALUE!</v>
      </c>
      <c r="AG144" s="59" t="e">
        <f ca="1">ROUND(IF(DESONERACAO="sim",REFERENCIA.Desonerado,REFERENCIA.NaoDesonerado),2)</f>
        <v>#VALUE!</v>
      </c>
      <c r="AH144" s="60">
        <f t="shared" si="81"/>
        <v>0.2223</v>
      </c>
      <c r="AJ144" s="61">
        <v>463.94</v>
      </c>
      <c r="AL144" s="62"/>
      <c r="AM144" s="63" t="e">
        <f t="shared" ca="1" si="94"/>
        <v>#VALUE!</v>
      </c>
      <c r="AN144" s="64" t="e">
        <f t="shared" ca="1" si="82"/>
        <v>#VALUE!</v>
      </c>
    </row>
    <row r="145" spans="1:40" ht="5.0999999999999996" customHeight="1" x14ac:dyDescent="0.2">
      <c r="A145">
        <v>-1</v>
      </c>
      <c r="C145">
        <v>-1</v>
      </c>
      <c r="E145">
        <v>0</v>
      </c>
      <c r="F145">
        <v>0</v>
      </c>
      <c r="G145">
        <v>0</v>
      </c>
      <c r="H145">
        <v>0</v>
      </c>
      <c r="I145">
        <v>0</v>
      </c>
      <c r="L145" s="42" t="s">
        <v>65</v>
      </c>
      <c r="M145" s="78"/>
      <c r="N145" s="79"/>
      <c r="O145" s="78"/>
      <c r="P145" s="80"/>
      <c r="Q145" s="80"/>
      <c r="R145" s="80"/>
      <c r="S145" s="80"/>
      <c r="T145" s="80"/>
      <c r="U145" s="80"/>
      <c r="V145" s="80"/>
      <c r="W145" s="80"/>
      <c r="X145" s="79"/>
      <c r="AG145" s="81"/>
      <c r="AH145" s="82"/>
      <c r="AJ145" s="83"/>
      <c r="AL145" s="81"/>
      <c r="AM145" s="84"/>
      <c r="AN145" s="82"/>
    </row>
    <row r="148" spans="1:40" ht="14.25" x14ac:dyDescent="0.2">
      <c r="O148" s="85" t="s">
        <v>223</v>
      </c>
      <c r="Q148" s="121" t="s">
        <v>224</v>
      </c>
      <c r="R148" s="121"/>
      <c r="S148" s="121"/>
      <c r="T148" s="121"/>
      <c r="U148" s="121"/>
      <c r="V148" s="121"/>
      <c r="W148" s="121"/>
      <c r="X148" s="121"/>
    </row>
    <row r="150" spans="1:40" ht="14.25" x14ac:dyDescent="0.2">
      <c r="O150" s="86" t="s">
        <v>225</v>
      </c>
      <c r="X150" s="87"/>
    </row>
    <row r="151" spans="1:40" ht="12.75" customHeight="1" x14ac:dyDescent="0.2"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</row>
    <row r="152" spans="1:40" x14ac:dyDescent="0.2"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</row>
    <row r="153" spans="1:40" x14ac:dyDescent="0.2"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</row>
    <row r="154" spans="1:40" ht="14.25" x14ac:dyDescent="0.2"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9"/>
      <c r="AA154" s="89"/>
      <c r="AB154" s="89"/>
    </row>
    <row r="155" spans="1:40" ht="15" x14ac:dyDescent="0.25">
      <c r="O155" s="123" t="str">
        <f>IF(AND($AF$7=FALSE,$AF$8=FALSE,$AF$9=FALSE,$AF$10=FALSE,$AF$11=FALSE),"Não foi considerado arredondamento nos valores da planilha.",CONCATENATE("Foi considerado arredondamento de duas casas decimais para ",IF($AF$7=TRUE,"Quantidade; ",""),IF($AF$8=TRUE,"Custo Unitário; ",""),IF($AF$9=TRUE,"BDI; ",""),IF($AF$10=TRUE,"Preço Unitário; ",""),IF($AF$11=TRUE,"Preço Total.","")))</f>
        <v>Não foi considerado arredondamento nos valores da planilha.</v>
      </c>
      <c r="P155" s="123"/>
      <c r="Q155" s="123"/>
      <c r="R155" s="123"/>
      <c r="S155" s="123"/>
      <c r="T155" s="123"/>
      <c r="U155" s="123"/>
      <c r="V155" s="123"/>
      <c r="W155" s="123"/>
      <c r="X155" s="123"/>
      <c r="Y155" s="90"/>
      <c r="Z155" s="90"/>
      <c r="AA155" s="90"/>
      <c r="AB155" s="90"/>
    </row>
    <row r="156" spans="1:40" ht="15" customHeight="1" x14ac:dyDescent="0.25">
      <c r="O156" s="124" t="s">
        <v>226</v>
      </c>
      <c r="P156" s="124"/>
      <c r="Q156" s="124"/>
      <c r="R156" s="124"/>
      <c r="S156" s="124"/>
      <c r="T156" s="124"/>
      <c r="U156" s="124"/>
      <c r="V156" s="124"/>
      <c r="W156" s="124"/>
      <c r="X156" s="124"/>
      <c r="Y156" s="90"/>
      <c r="Z156" s="90"/>
      <c r="AA156" s="90"/>
      <c r="AB156" s="90"/>
    </row>
    <row r="158" spans="1:40" ht="30" customHeight="1" x14ac:dyDescent="0.2">
      <c r="O158" s="125" t="str">
        <f>Import.Município</f>
        <v>LARANJAL/PR</v>
      </c>
      <c r="P158" s="125"/>
      <c r="Q158" s="125"/>
      <c r="S158" s="91"/>
      <c r="T158" s="91"/>
      <c r="U158" s="91"/>
      <c r="V158" s="91"/>
      <c r="W158" s="92"/>
    </row>
    <row r="159" spans="1:40" x14ac:dyDescent="0.2">
      <c r="O159" s="93" t="s">
        <v>227</v>
      </c>
      <c r="S159" s="94" t="s">
        <v>228</v>
      </c>
      <c r="T159" s="94"/>
      <c r="U159" s="94"/>
      <c r="V159" s="94"/>
    </row>
    <row r="160" spans="1:40" x14ac:dyDescent="0.2">
      <c r="S160" s="12" t="s">
        <v>229</v>
      </c>
      <c r="T160" s="95" t="str">
        <f t="array" ref="T160:T162">Import.RespOrçamento</f>
        <v xml:space="preserve">SIMONE DE ANDRADE </v>
      </c>
      <c r="V160" s="96"/>
    </row>
    <row r="161" spans="15:22" x14ac:dyDescent="0.2">
      <c r="O161" s="119">
        <f>[1]DADOS!$F$25</f>
        <v>45280</v>
      </c>
      <c r="P161" s="119"/>
      <c r="Q161" s="119"/>
      <c r="S161" s="12" t="s">
        <v>230</v>
      </c>
      <c r="T161" s="95" t="str">
        <v>ARQUITETA E URBANISTA CAU A450111</v>
      </c>
      <c r="U161" s="96"/>
      <c r="V161" s="96"/>
    </row>
    <row r="162" spans="15:22" x14ac:dyDescent="0.2">
      <c r="O162" s="97" t="s">
        <v>231</v>
      </c>
      <c r="P162" s="98"/>
      <c r="Q162" s="98"/>
      <c r="S162" s="12" t="s">
        <v>232</v>
      </c>
      <c r="T162" s="95" t="str">
        <v>12669270</v>
      </c>
      <c r="U162" s="96"/>
      <c r="V162" s="96"/>
    </row>
  </sheetData>
  <sheetProtection password="BD1F" sheet="1" objects="1" scenarios="1" autoFilter="0"/>
  <autoFilter ref="L15:L145"/>
  <mergeCells count="24">
    <mergeCell ref="O4:P4"/>
    <mergeCell ref="S4:X4"/>
    <mergeCell ref="O5:P5"/>
    <mergeCell ref="S5:X5"/>
    <mergeCell ref="AE5:AF5"/>
    <mergeCell ref="AJ7:AJ11"/>
    <mergeCell ref="AL7:AL11"/>
    <mergeCell ref="F8:K8"/>
    <mergeCell ref="L8:L12"/>
    <mergeCell ref="O8:P8"/>
    <mergeCell ref="S8:U8"/>
    <mergeCell ref="Y8:Y12"/>
    <mergeCell ref="Z8:Z12"/>
    <mergeCell ref="F9:K9"/>
    <mergeCell ref="AA12:AB12"/>
    <mergeCell ref="O7:P7"/>
    <mergeCell ref="S7:U7"/>
    <mergeCell ref="O161:Q161"/>
    <mergeCell ref="O15:R15"/>
    <mergeCell ref="Q148:X148"/>
    <mergeCell ref="O151:X153"/>
    <mergeCell ref="O155:X155"/>
    <mergeCell ref="O156:X156"/>
    <mergeCell ref="O158:Q158"/>
  </mergeCells>
  <conditionalFormatting sqref="M14 M66 M61:M64 M42:M59 M16:M33 M35:M40 M139:M144 M127:M137 M77:M116">
    <cfRule type="cellIs" dxfId="138" priority="121" stopIfTrue="1" operator="notEqual">
      <formula>$N14</formula>
    </cfRule>
  </conditionalFormatting>
  <conditionalFormatting sqref="N14:O14 R14 W14:X14 N66:O66 W66:X66 N61:O64 W61:X64 N42:O59 W42:X59 N16:O33 W16:X33 N35:O40 W35:X40 W139:X144 N139:O144 N127:O137 W127:X137 N77:O116 W77:X116">
    <cfRule type="expression" dxfId="137" priority="122" stopIfTrue="1">
      <formula>$C14=1</formula>
    </cfRule>
    <cfRule type="expression" dxfId="136" priority="123" stopIfTrue="1">
      <formula>OR($C14=0,$C14=2,$C14=3,$C14=4)</formula>
    </cfRule>
  </conditionalFormatting>
  <conditionalFormatting sqref="U14:V14">
    <cfRule type="expression" dxfId="135" priority="124" stopIfTrue="1">
      <formula>$C14=1</formula>
    </cfRule>
    <cfRule type="expression" dxfId="134" priority="125" stopIfTrue="1">
      <formula>OR($C14=0,$C14=2,$C14=3,$C14=4)</formula>
    </cfRule>
    <cfRule type="expression" dxfId="133" priority="126" stopIfTrue="1">
      <formula>AND(TIPOORCAMENTO="Licitado",$C14&lt;&gt;"L",$C14&lt;&gt;-1)</formula>
    </cfRule>
  </conditionalFormatting>
  <conditionalFormatting sqref="P14:Q14 S14:T14 Y14 AG14:AH14 T66 Y66 AG66:AH66 T61:T64 Y61:Y64 AG61:AH64 T42:T59 Y42:Y59 AG42:AH59 T16:T33 Y16:Y33 AG16:AH33 T35:T40 Y35:Y40 AG35:AH40 AG139:AH144 Y139:Y144 T139:T144 T127:T137 Y127:Y137 AG127:AH137 T77:T116 Y77:Y116 AG77:AH116">
    <cfRule type="expression" dxfId="132" priority="127" stopIfTrue="1">
      <formula>$C14=1</formula>
    </cfRule>
    <cfRule type="expression" dxfId="131" priority="128" stopIfTrue="1">
      <formula>OR($C14=0,$C14=2,$C14=3,$C14=4)</formula>
    </cfRule>
  </conditionalFormatting>
  <conditionalFormatting sqref="AJ66 AJ61:AJ64 AJ42:AJ59 AJ7:AJ33 AJ35:AJ40 AJ139:AJ145 AJ127:AJ137 AJ77:AJ116">
    <cfRule type="expression" dxfId="130" priority="129" stopIfTrue="1">
      <formula>OR(ACOMPANHAMENTO&lt;&gt;"BM",TIPOORCAMENTO="Licitado")</formula>
    </cfRule>
    <cfRule type="expression" dxfId="129" priority="130" stopIfTrue="1">
      <formula>$C7=1</formula>
    </cfRule>
    <cfRule type="expression" dxfId="128" priority="131" stopIfTrue="1">
      <formula>OR(AND(ISNUMBER($C7),$C7=0),$C7=2,$C7=3,$C7=4)</formula>
    </cfRule>
  </conditionalFormatting>
  <conditionalFormatting sqref="AL66 AL61:AL64 AL42:AL59 AL7:AL33 AL35:AL40 AL139:AL145 AL127:AL137 AL77:AL116">
    <cfRule type="expression" dxfId="127" priority="132" stopIfTrue="1">
      <formula>TIPOORCAMENTO="PROPOSTO"</formula>
    </cfRule>
    <cfRule type="expression" dxfId="126" priority="133" stopIfTrue="1">
      <formula>$C7=1</formula>
    </cfRule>
    <cfRule type="expression" dxfId="125" priority="134" stopIfTrue="1">
      <formula>OR(AND(ISNUMBER($C7),$C7=0),$C7=2,$C7=3,$C7=4)</formula>
    </cfRule>
  </conditionalFormatting>
  <conditionalFormatting sqref="O8:P8">
    <cfRule type="expression" dxfId="124" priority="138" stopIfTrue="1">
      <formula>ISERROR(INDIRECT($F$9))</formula>
    </cfRule>
  </conditionalFormatting>
  <conditionalFormatting sqref="S7:V8">
    <cfRule type="expression" dxfId="123" priority="139" stopIfTrue="1">
      <formula>TIPOORCAMENTO="Proposto"</formula>
    </cfRule>
  </conditionalFormatting>
  <conditionalFormatting sqref="S9:V9">
    <cfRule type="expression" dxfId="122" priority="120" stopIfTrue="1">
      <formula>TIPOORCAMENTO="Proposto"</formula>
    </cfRule>
  </conditionalFormatting>
  <conditionalFormatting sqref="AM66:AN66 AM61:AN64 AM42:AN59 AM7:AN33 AM35:AN40 AM139:AN145 AM127:AN137 AM77:AN116">
    <cfRule type="expression" dxfId="121" priority="135" stopIfTrue="1">
      <formula>TIPOORCAMENTO="PROPOSTO"</formula>
    </cfRule>
    <cfRule type="expression" dxfId="120" priority="136" stopIfTrue="1">
      <formula>$C7=1</formula>
    </cfRule>
    <cfRule type="expression" dxfId="119" priority="137" stopIfTrue="1">
      <formula>OR(AND(ISNUMBER($C7),$C7=0),$C7=2,$C7=3,$C7=4)</formula>
    </cfRule>
  </conditionalFormatting>
  <conditionalFormatting sqref="M67:M75">
    <cfRule type="cellIs" dxfId="118" priority="106" stopIfTrue="1" operator="notEqual">
      <formula>$N67</formula>
    </cfRule>
  </conditionalFormatting>
  <conditionalFormatting sqref="N67:O75 W67:X75">
    <cfRule type="expression" dxfId="117" priority="107" stopIfTrue="1">
      <formula>$C67=1</formula>
    </cfRule>
    <cfRule type="expression" dxfId="116" priority="108" stopIfTrue="1">
      <formula>OR($C67=0,$C67=2,$C67=3,$C67=4)</formula>
    </cfRule>
  </conditionalFormatting>
  <conditionalFormatting sqref="T67:T75 Y67:Y75 AG67:AH75">
    <cfRule type="expression" dxfId="115" priority="109" stopIfTrue="1">
      <formula>$C67=1</formula>
    </cfRule>
    <cfRule type="expression" dxfId="114" priority="110" stopIfTrue="1">
      <formula>OR($C67=0,$C67=2,$C67=3,$C67=4)</formula>
    </cfRule>
  </conditionalFormatting>
  <conditionalFormatting sqref="AJ67:AJ75">
    <cfRule type="expression" dxfId="113" priority="111" stopIfTrue="1">
      <formula>OR(ACOMPANHAMENTO&lt;&gt;"BM",TIPOORCAMENTO="Licitado")</formula>
    </cfRule>
    <cfRule type="expression" dxfId="112" priority="112" stopIfTrue="1">
      <formula>$C67=1</formula>
    </cfRule>
    <cfRule type="expression" dxfId="111" priority="113" stopIfTrue="1">
      <formula>OR(AND(ISNUMBER($C67),$C67=0),$C67=2,$C67=3,$C67=4)</formula>
    </cfRule>
  </conditionalFormatting>
  <conditionalFormatting sqref="AL67:AL75">
    <cfRule type="expression" dxfId="110" priority="114" stopIfTrue="1">
      <formula>TIPOORCAMENTO="PROPOSTO"</formula>
    </cfRule>
    <cfRule type="expression" dxfId="109" priority="115" stopIfTrue="1">
      <formula>$C67=1</formula>
    </cfRule>
    <cfRule type="expression" dxfId="108" priority="116" stopIfTrue="1">
      <formula>OR(AND(ISNUMBER($C67),$C67=0),$C67=2,$C67=3,$C67=4)</formula>
    </cfRule>
  </conditionalFormatting>
  <conditionalFormatting sqref="AM67:AN75">
    <cfRule type="expression" dxfId="107" priority="117" stopIfTrue="1">
      <formula>TIPOORCAMENTO="PROPOSTO"</formula>
    </cfRule>
    <cfRule type="expression" dxfId="106" priority="118" stopIfTrue="1">
      <formula>$C67=1</formula>
    </cfRule>
    <cfRule type="expression" dxfId="105" priority="119" stopIfTrue="1">
      <formula>OR(AND(ISNUMBER($C67),$C67=0),$C67=2,$C67=3,$C67=4)</formula>
    </cfRule>
  </conditionalFormatting>
  <conditionalFormatting sqref="M34 M41">
    <cfRule type="cellIs" dxfId="104" priority="92" stopIfTrue="1" operator="notEqual">
      <formula>$N34</formula>
    </cfRule>
  </conditionalFormatting>
  <conditionalFormatting sqref="N34:O34 W34:X34 W41:X41 N41:O41">
    <cfRule type="expression" dxfId="103" priority="93" stopIfTrue="1">
      <formula>$C34=1</formula>
    </cfRule>
    <cfRule type="expression" dxfId="102" priority="94" stopIfTrue="1">
      <formula>OR($C34=0,$C34=2,$C34=3,$C34=4)</formula>
    </cfRule>
  </conditionalFormatting>
  <conditionalFormatting sqref="T34 Y34 AG34:AH34 AG41:AH41 Y41 T41">
    <cfRule type="expression" dxfId="101" priority="95" stopIfTrue="1">
      <formula>$C34=1</formula>
    </cfRule>
    <cfRule type="expression" dxfId="100" priority="96" stopIfTrue="1">
      <formula>OR($C34=0,$C34=2,$C34=3,$C34=4)</formula>
    </cfRule>
  </conditionalFormatting>
  <conditionalFormatting sqref="AJ34 AJ41">
    <cfRule type="expression" dxfId="99" priority="97" stopIfTrue="1">
      <formula>OR(ACOMPANHAMENTO&lt;&gt;"BM",TIPOORCAMENTO="Licitado")</formula>
    </cfRule>
    <cfRule type="expression" dxfId="98" priority="98" stopIfTrue="1">
      <formula>$C34=1</formula>
    </cfRule>
    <cfRule type="expression" dxfId="97" priority="99" stopIfTrue="1">
      <formula>OR(AND(ISNUMBER($C34),$C34=0),$C34=2,$C34=3,$C34=4)</formula>
    </cfRule>
  </conditionalFormatting>
  <conditionalFormatting sqref="AL34 AL41">
    <cfRule type="expression" dxfId="96" priority="100" stopIfTrue="1">
      <formula>TIPOORCAMENTO="PROPOSTO"</formula>
    </cfRule>
    <cfRule type="expression" dxfId="95" priority="101" stopIfTrue="1">
      <formula>$C34=1</formula>
    </cfRule>
    <cfRule type="expression" dxfId="94" priority="102" stopIfTrue="1">
      <formula>OR(AND(ISNUMBER($C34),$C34=0),$C34=2,$C34=3,$C34=4)</formula>
    </cfRule>
  </conditionalFormatting>
  <conditionalFormatting sqref="AM34:AN34 AM41:AN41">
    <cfRule type="expression" dxfId="93" priority="103" stopIfTrue="1">
      <formula>TIPOORCAMENTO="PROPOSTO"</formula>
    </cfRule>
    <cfRule type="expression" dxfId="92" priority="104" stopIfTrue="1">
      <formula>$C34=1</formula>
    </cfRule>
    <cfRule type="expression" dxfId="91" priority="105" stopIfTrue="1">
      <formula>OR(AND(ISNUMBER($C34),$C34=0),$C34=2,$C34=3,$C34=4)</formula>
    </cfRule>
  </conditionalFormatting>
  <conditionalFormatting sqref="M65">
    <cfRule type="cellIs" dxfId="90" priority="78" stopIfTrue="1" operator="notEqual">
      <formula>$N65</formula>
    </cfRule>
  </conditionalFormatting>
  <conditionalFormatting sqref="N65:O65 W65:X65">
    <cfRule type="expression" dxfId="89" priority="79" stopIfTrue="1">
      <formula>$C65=1</formula>
    </cfRule>
    <cfRule type="expression" dxfId="88" priority="80" stopIfTrue="1">
      <formula>OR($C65=0,$C65=2,$C65=3,$C65=4)</formula>
    </cfRule>
  </conditionalFormatting>
  <conditionalFormatting sqref="T65 Y65 AG65:AH65">
    <cfRule type="expression" dxfId="87" priority="81" stopIfTrue="1">
      <formula>$C65=1</formula>
    </cfRule>
    <cfRule type="expression" dxfId="86" priority="82" stopIfTrue="1">
      <formula>OR($C65=0,$C65=2,$C65=3,$C65=4)</formula>
    </cfRule>
  </conditionalFormatting>
  <conditionalFormatting sqref="AJ65">
    <cfRule type="expression" dxfId="85" priority="83" stopIfTrue="1">
      <formula>OR(ACOMPANHAMENTO&lt;&gt;"BM",TIPOORCAMENTO="Licitado")</formula>
    </cfRule>
    <cfRule type="expression" dxfId="84" priority="84" stopIfTrue="1">
      <formula>$C65=1</formula>
    </cfRule>
    <cfRule type="expression" dxfId="83" priority="85" stopIfTrue="1">
      <formula>OR(AND(ISNUMBER($C65),$C65=0),$C65=2,$C65=3,$C65=4)</formula>
    </cfRule>
  </conditionalFormatting>
  <conditionalFormatting sqref="AL65">
    <cfRule type="expression" dxfId="82" priority="86" stopIfTrue="1">
      <formula>TIPOORCAMENTO="PROPOSTO"</formula>
    </cfRule>
    <cfRule type="expression" dxfId="81" priority="87" stopIfTrue="1">
      <formula>$C65=1</formula>
    </cfRule>
    <cfRule type="expression" dxfId="80" priority="88" stopIfTrue="1">
      <formula>OR(AND(ISNUMBER($C65),$C65=0),$C65=2,$C65=3,$C65=4)</formula>
    </cfRule>
  </conditionalFormatting>
  <conditionalFormatting sqref="AM65:AN65">
    <cfRule type="expression" dxfId="79" priority="89" stopIfTrue="1">
      <formula>TIPOORCAMENTO="PROPOSTO"</formula>
    </cfRule>
    <cfRule type="expression" dxfId="78" priority="90" stopIfTrue="1">
      <formula>$C65=1</formula>
    </cfRule>
    <cfRule type="expression" dxfId="77" priority="91" stopIfTrue="1">
      <formula>OR(AND(ISNUMBER($C65),$C65=0),$C65=2,$C65=3,$C65=4)</formula>
    </cfRule>
  </conditionalFormatting>
  <conditionalFormatting sqref="M138">
    <cfRule type="cellIs" dxfId="76" priority="64" stopIfTrue="1" operator="notEqual">
      <formula>$N138</formula>
    </cfRule>
  </conditionalFormatting>
  <conditionalFormatting sqref="N138:O138 W138:X138">
    <cfRule type="expression" dxfId="75" priority="65" stopIfTrue="1">
      <formula>$C138=1</formula>
    </cfRule>
    <cfRule type="expression" dxfId="74" priority="66" stopIfTrue="1">
      <formula>OR($C138=0,$C138=2,$C138=3,$C138=4)</formula>
    </cfRule>
  </conditionalFormatting>
  <conditionalFormatting sqref="T138 Y138 AG138:AH138">
    <cfRule type="expression" dxfId="73" priority="67" stopIfTrue="1">
      <formula>$C138=1</formula>
    </cfRule>
    <cfRule type="expression" dxfId="72" priority="68" stopIfTrue="1">
      <formula>OR($C138=0,$C138=2,$C138=3,$C138=4)</formula>
    </cfRule>
  </conditionalFormatting>
  <conditionalFormatting sqref="AJ138">
    <cfRule type="expression" dxfId="71" priority="69" stopIfTrue="1">
      <formula>OR(ACOMPANHAMENTO&lt;&gt;"BM",TIPOORCAMENTO="Licitado")</formula>
    </cfRule>
    <cfRule type="expression" dxfId="70" priority="70" stopIfTrue="1">
      <formula>$C138=1</formula>
    </cfRule>
    <cfRule type="expression" dxfId="69" priority="71" stopIfTrue="1">
      <formula>OR(AND(ISNUMBER($C138),$C138=0),$C138=2,$C138=3,$C138=4)</formula>
    </cfRule>
  </conditionalFormatting>
  <conditionalFormatting sqref="AL138">
    <cfRule type="expression" dxfId="68" priority="72" stopIfTrue="1">
      <formula>TIPOORCAMENTO="PROPOSTO"</formula>
    </cfRule>
    <cfRule type="expression" dxfId="67" priority="73" stopIfTrue="1">
      <formula>$C138=1</formula>
    </cfRule>
    <cfRule type="expression" dxfId="66" priority="74" stopIfTrue="1">
      <formula>OR(AND(ISNUMBER($C138),$C138=0),$C138=2,$C138=3,$C138=4)</formula>
    </cfRule>
  </conditionalFormatting>
  <conditionalFormatting sqref="AM138:AN138">
    <cfRule type="expression" dxfId="65" priority="75" stopIfTrue="1">
      <formula>TIPOORCAMENTO="PROPOSTO"</formula>
    </cfRule>
    <cfRule type="expression" dxfId="64" priority="76" stopIfTrue="1">
      <formula>$C138=1</formula>
    </cfRule>
    <cfRule type="expression" dxfId="63" priority="77" stopIfTrue="1">
      <formula>OR(AND(ISNUMBER($C138),$C138=0),$C138=2,$C138=3,$C138=4)</formula>
    </cfRule>
  </conditionalFormatting>
  <conditionalFormatting sqref="M117:M125">
    <cfRule type="cellIs" dxfId="62" priority="50" stopIfTrue="1" operator="notEqual">
      <formula>$N117</formula>
    </cfRule>
  </conditionalFormatting>
  <conditionalFormatting sqref="N117:O125 W117:X125">
    <cfRule type="expression" dxfId="61" priority="51" stopIfTrue="1">
      <formula>$C117=1</formula>
    </cfRule>
    <cfRule type="expression" dxfId="60" priority="52" stopIfTrue="1">
      <formula>OR($C117=0,$C117=2,$C117=3,$C117=4)</formula>
    </cfRule>
  </conditionalFormatting>
  <conditionalFormatting sqref="T117:T125 Y117:Y125 AG117:AH125">
    <cfRule type="expression" dxfId="59" priority="53" stopIfTrue="1">
      <formula>$C117=1</formula>
    </cfRule>
    <cfRule type="expression" dxfId="58" priority="54" stopIfTrue="1">
      <formula>OR($C117=0,$C117=2,$C117=3,$C117=4)</formula>
    </cfRule>
  </conditionalFormatting>
  <conditionalFormatting sqref="AJ117:AJ125">
    <cfRule type="expression" dxfId="57" priority="55" stopIfTrue="1">
      <formula>OR(ACOMPANHAMENTO&lt;&gt;"BM",TIPOORCAMENTO="Licitado")</formula>
    </cfRule>
    <cfRule type="expression" dxfId="56" priority="56" stopIfTrue="1">
      <formula>$C117=1</formula>
    </cfRule>
    <cfRule type="expression" dxfId="55" priority="57" stopIfTrue="1">
      <formula>OR(AND(ISNUMBER($C117),$C117=0),$C117=2,$C117=3,$C117=4)</formula>
    </cfRule>
  </conditionalFormatting>
  <conditionalFormatting sqref="AL117:AL125">
    <cfRule type="expression" dxfId="54" priority="58" stopIfTrue="1">
      <formula>TIPOORCAMENTO="PROPOSTO"</formula>
    </cfRule>
    <cfRule type="expression" dxfId="53" priority="59" stopIfTrue="1">
      <formula>$C117=1</formula>
    </cfRule>
    <cfRule type="expression" dxfId="52" priority="60" stopIfTrue="1">
      <formula>OR(AND(ISNUMBER($C117),$C117=0),$C117=2,$C117=3,$C117=4)</formula>
    </cfRule>
  </conditionalFormatting>
  <conditionalFormatting sqref="AM117:AN125">
    <cfRule type="expression" dxfId="51" priority="61" stopIfTrue="1">
      <formula>TIPOORCAMENTO="PROPOSTO"</formula>
    </cfRule>
    <cfRule type="expression" dxfId="50" priority="62" stopIfTrue="1">
      <formula>$C117=1</formula>
    </cfRule>
    <cfRule type="expression" dxfId="49" priority="63" stopIfTrue="1">
      <formula>OR(AND(ISNUMBER($C117),$C117=0),$C117=2,$C117=3,$C117=4)</formula>
    </cfRule>
  </conditionalFormatting>
  <conditionalFormatting sqref="M126">
    <cfRule type="cellIs" dxfId="48" priority="36" stopIfTrue="1" operator="notEqual">
      <formula>$N126</formula>
    </cfRule>
  </conditionalFormatting>
  <conditionalFormatting sqref="N126:O126 W126:X126">
    <cfRule type="expression" dxfId="47" priority="37" stopIfTrue="1">
      <formula>$C126=1</formula>
    </cfRule>
    <cfRule type="expression" dxfId="46" priority="38" stopIfTrue="1">
      <formula>OR($C126=0,$C126=2,$C126=3,$C126=4)</formula>
    </cfRule>
  </conditionalFormatting>
  <conditionalFormatting sqref="T126 Y126 AG126:AH126">
    <cfRule type="expression" dxfId="45" priority="39" stopIfTrue="1">
      <formula>$C126=1</formula>
    </cfRule>
    <cfRule type="expression" dxfId="44" priority="40" stopIfTrue="1">
      <formula>OR($C126=0,$C126=2,$C126=3,$C126=4)</formula>
    </cfRule>
  </conditionalFormatting>
  <conditionalFormatting sqref="AJ126">
    <cfRule type="expression" dxfId="43" priority="41" stopIfTrue="1">
      <formula>OR(ACOMPANHAMENTO&lt;&gt;"BM",TIPOORCAMENTO="Licitado")</formula>
    </cfRule>
    <cfRule type="expression" dxfId="42" priority="42" stopIfTrue="1">
      <formula>$C126=1</formula>
    </cfRule>
    <cfRule type="expression" dxfId="41" priority="43" stopIfTrue="1">
      <formula>OR(AND(ISNUMBER($C126),$C126=0),$C126=2,$C126=3,$C126=4)</formula>
    </cfRule>
  </conditionalFormatting>
  <conditionalFormatting sqref="AL126">
    <cfRule type="expression" dxfId="40" priority="44" stopIfTrue="1">
      <formula>TIPOORCAMENTO="PROPOSTO"</formula>
    </cfRule>
    <cfRule type="expression" dxfId="39" priority="45" stopIfTrue="1">
      <formula>$C126=1</formula>
    </cfRule>
    <cfRule type="expression" dxfId="38" priority="46" stopIfTrue="1">
      <formula>OR(AND(ISNUMBER($C126),$C126=0),$C126=2,$C126=3,$C126=4)</formula>
    </cfRule>
  </conditionalFormatting>
  <conditionalFormatting sqref="AM126:AN126">
    <cfRule type="expression" dxfId="37" priority="47" stopIfTrue="1">
      <formula>TIPOORCAMENTO="PROPOSTO"</formula>
    </cfRule>
    <cfRule type="expression" dxfId="36" priority="48" stopIfTrue="1">
      <formula>$C126=1</formula>
    </cfRule>
    <cfRule type="expression" dxfId="35" priority="49" stopIfTrue="1">
      <formula>OR(AND(ISNUMBER($C126),$C126=0),$C126=2,$C126=3,$C126=4)</formula>
    </cfRule>
  </conditionalFormatting>
  <conditionalFormatting sqref="M60">
    <cfRule type="cellIs" dxfId="34" priority="22" stopIfTrue="1" operator="notEqual">
      <formula>$N60</formula>
    </cfRule>
  </conditionalFormatting>
  <conditionalFormatting sqref="N60:O60 W60:X60">
    <cfRule type="expression" dxfId="33" priority="23" stopIfTrue="1">
      <formula>$C60=1</formula>
    </cfRule>
    <cfRule type="expression" dxfId="32" priority="24" stopIfTrue="1">
      <formula>OR($C60=0,$C60=2,$C60=3,$C60=4)</formula>
    </cfRule>
  </conditionalFormatting>
  <conditionalFormatting sqref="T60 Y60 AG60:AH60">
    <cfRule type="expression" dxfId="31" priority="25" stopIfTrue="1">
      <formula>$C60=1</formula>
    </cfRule>
    <cfRule type="expression" dxfId="30" priority="26" stopIfTrue="1">
      <formula>OR($C60=0,$C60=2,$C60=3,$C60=4)</formula>
    </cfRule>
  </conditionalFormatting>
  <conditionalFormatting sqref="AJ60">
    <cfRule type="expression" dxfId="29" priority="27" stopIfTrue="1">
      <formula>OR(ACOMPANHAMENTO&lt;&gt;"BM",TIPOORCAMENTO="Licitado")</formula>
    </cfRule>
    <cfRule type="expression" dxfId="28" priority="28" stopIfTrue="1">
      <formula>$C60=1</formula>
    </cfRule>
    <cfRule type="expression" dxfId="27" priority="29" stopIfTrue="1">
      <formula>OR(AND(ISNUMBER($C60),$C60=0),$C60=2,$C60=3,$C60=4)</formula>
    </cfRule>
  </conditionalFormatting>
  <conditionalFormatting sqref="AL60">
    <cfRule type="expression" dxfId="26" priority="30" stopIfTrue="1">
      <formula>TIPOORCAMENTO="PROPOSTO"</formula>
    </cfRule>
    <cfRule type="expression" dxfId="25" priority="31" stopIfTrue="1">
      <formula>$C60=1</formula>
    </cfRule>
    <cfRule type="expression" dxfId="24" priority="32" stopIfTrue="1">
      <formula>OR(AND(ISNUMBER($C60),$C60=0),$C60=2,$C60=3,$C60=4)</formula>
    </cfRule>
  </conditionalFormatting>
  <conditionalFormatting sqref="AM60:AN60">
    <cfRule type="expression" dxfId="23" priority="33" stopIfTrue="1">
      <formula>TIPOORCAMENTO="PROPOSTO"</formula>
    </cfRule>
    <cfRule type="expression" dxfId="22" priority="34" stopIfTrue="1">
      <formula>$C60=1</formula>
    </cfRule>
    <cfRule type="expression" dxfId="21" priority="35" stopIfTrue="1">
      <formula>OR(AND(ISNUMBER($C60),$C60=0),$C60=2,$C60=3,$C60=4)</formula>
    </cfRule>
  </conditionalFormatting>
  <conditionalFormatting sqref="M76">
    <cfRule type="cellIs" dxfId="20" priority="8" stopIfTrue="1" operator="notEqual">
      <formula>$N76</formula>
    </cfRule>
  </conditionalFormatting>
  <conditionalFormatting sqref="N76:O76 W76:X76">
    <cfRule type="expression" dxfId="19" priority="9" stopIfTrue="1">
      <formula>$C76=1</formula>
    </cfRule>
    <cfRule type="expression" dxfId="18" priority="10" stopIfTrue="1">
      <formula>OR($C76=0,$C76=2,$C76=3,$C76=4)</formula>
    </cfRule>
  </conditionalFormatting>
  <conditionalFormatting sqref="T76 Y76 AG76:AH76">
    <cfRule type="expression" dxfId="17" priority="11" stopIfTrue="1">
      <formula>$C76=1</formula>
    </cfRule>
    <cfRule type="expression" dxfId="16" priority="12" stopIfTrue="1">
      <formula>OR($C76=0,$C76=2,$C76=3,$C76=4)</formula>
    </cfRule>
  </conditionalFormatting>
  <conditionalFormatting sqref="AJ76">
    <cfRule type="expression" dxfId="15" priority="13" stopIfTrue="1">
      <formula>OR(ACOMPANHAMENTO&lt;&gt;"BM",TIPOORCAMENTO="Licitado")</formula>
    </cfRule>
    <cfRule type="expression" dxfId="14" priority="14" stopIfTrue="1">
      <formula>$C76=1</formula>
    </cfRule>
    <cfRule type="expression" dxfId="13" priority="15" stopIfTrue="1">
      <formula>OR(AND(ISNUMBER($C76),$C76=0),$C76=2,$C76=3,$C76=4)</formula>
    </cfRule>
  </conditionalFormatting>
  <conditionalFormatting sqref="AL76">
    <cfRule type="expression" dxfId="12" priority="16" stopIfTrue="1">
      <formula>TIPOORCAMENTO="PROPOSTO"</formula>
    </cfRule>
    <cfRule type="expression" dxfId="11" priority="17" stopIfTrue="1">
      <formula>$C76=1</formula>
    </cfRule>
    <cfRule type="expression" dxfId="10" priority="18" stopIfTrue="1">
      <formula>OR(AND(ISNUMBER($C76),$C76=0),$C76=2,$C76=3,$C76=4)</formula>
    </cfRule>
  </conditionalFormatting>
  <conditionalFormatting sqref="AM76:AN76">
    <cfRule type="expression" dxfId="9" priority="19" stopIfTrue="1">
      <formula>TIPOORCAMENTO="PROPOSTO"</formula>
    </cfRule>
    <cfRule type="expression" dxfId="8" priority="20" stopIfTrue="1">
      <formula>$C76=1</formula>
    </cfRule>
    <cfRule type="expression" dxfId="7" priority="21" stopIfTrue="1">
      <formula>OR(AND(ISNUMBER($C76),$C76=0),$C76=2,$C76=3,$C76=4)</formula>
    </cfRule>
  </conditionalFormatting>
  <conditionalFormatting sqref="R16:R144">
    <cfRule type="expression" dxfId="6" priority="4" stopIfTrue="1">
      <formula>$C16=1</formula>
    </cfRule>
    <cfRule type="expression" dxfId="5" priority="5" stopIfTrue="1">
      <formula>OR($C16=0,$C16=2,$C16=3,$C16=4)</formula>
    </cfRule>
  </conditionalFormatting>
  <conditionalFormatting sqref="P16:Q144 S16:S144">
    <cfRule type="expression" dxfId="4" priority="6" stopIfTrue="1">
      <formula>$C16=1</formula>
    </cfRule>
    <cfRule type="expression" dxfId="3" priority="7" stopIfTrue="1">
      <formula>OR($C16=0,$C16=2,$C16=3,$C16=4)</formula>
    </cfRule>
  </conditionalFormatting>
  <conditionalFormatting sqref="U16:V144">
    <cfRule type="expression" dxfId="2" priority="1" stopIfTrue="1">
      <formula>$C16=1</formula>
    </cfRule>
    <cfRule type="expression" dxfId="1" priority="2" stopIfTrue="1">
      <formula>OR($C16=0,$C16=2,$C16=3,$C16=4)</formula>
    </cfRule>
    <cfRule type="expression" dxfId="0" priority="3" stopIfTrue="1">
      <formula>AND(TIPOORCAMENTO="Licitado",$C16&lt;&gt;"L",$C16&lt;&gt;-1)</formula>
    </cfRule>
  </conditionalFormatting>
  <dataValidations count="7">
    <dataValidation type="decimal" operator="greaterThan" allowBlank="1" showErrorMessage="1" error="Apenas números decimais maiores que zero." sqref="U14 AL14 AJ14 AL16:AL144 AJ16:AJ144 U16:U144">
      <formula1>0</formula1>
      <formula2>0</formula2>
    </dataValidation>
    <dataValidation type="list" allowBlank="1" sqref="P14 P16:P144">
      <formula1>"SINAPI,SINAPI-I,SICRO,Composição,Cotação"</formula1>
      <formula2>0</formula2>
    </dataValidation>
    <dataValidation type="list" errorStyle="warning" allowBlank="1" showInputMessage="1" showErrorMessage="1" errorTitle="Aviso BDI" error="Selecione um dos 3 BDI da lista._x000a__x000a_Caso tenha mais de 3 BDI nesta Planilha Orçamentária digite apenas valor percentual." promptTitle="Legenda:" prompt="RA: Rateio proporcional entre Repasse e Contrapartida._x000a_RP: 100% Repasse_x000a_CP: 100% Contrapartida_x000a_OU: 100% Outros." sqref="Y14 Y16:Y144">
      <formula1>"RA,RP,CP,OU"</formula1>
      <formula2>0</formula2>
    </dataValidation>
    <dataValidation type="list" errorStyle="warning" allowBlank="1" showErrorMessage="1" errorTitle="Aviso BDI" error="Selecione um dos 3 BDI da lista._x000a__x000a_Caso tenha mais de 3 BDI nesta Planilha Orçamentária digite apenas valor percentual." sqref="V14 V16:V144">
      <mc:AlternateContent xmlns:x12ac="http://schemas.microsoft.com/office/spreadsheetml/2011/1/ac" xmlns:mc="http://schemas.openxmlformats.org/markup-compatibility/2006">
        <mc:Choice Requires="x12ac">
          <x12ac:list>BDI 1,BDI 2,BDI 3,"0,00%"</x12ac:list>
        </mc:Choice>
        <mc:Fallback>
          <formula1>"BDI 1,BDI 2,BDI 3,0,00%"</formula1>
        </mc:Fallback>
      </mc:AlternateContent>
      <formula2>0</formula2>
    </dataValidation>
    <dataValidation type="list" showErrorMessage="1" errorTitle="Erro de Entrada" error="Selecione somente os itens da lista." promptTitle="Nível:" prompt="Selecione na lista o nível de itemização da Planilha." sqref="M14 M16:M144">
      <formula1>"Meta,Nível 2,Nível 3,Nível 4,Serviço"</formula1>
      <formula2>0</formula2>
    </dataValidation>
    <dataValidation allowBlank="1" showInputMessage="1" showErrorMessage="1" prompt="A entrada de quantidades é feita na coluna AJ se acompanhamento por BM, ou na aba &quot;Memória de Cálculo/PLQ&quot; se acompanhamento por PLE." sqref="T14 T16:T144"/>
    <dataValidation allowBlank="1" showInputMessage="1" showErrorMessage="1" prompt="Para Orçamento Proposto, o Preço Unitário é resultado do produto do Custo Unitário pelo BDI._x000a_Para Orçamento Licitado, deve ser preenchido na Coluna AL." sqref="W14 W16:W144"/>
  </dataValidations>
  <pageMargins left="0.78740157480314998" right="0.78740157480314998" top="0.78740157480314998" bottom="0.78740157480314998" header="0.59055118110236204" footer="0.59055118110236204"/>
  <pageSetup paperSize="9" scale="67" firstPageNumber="0" fitToHeight="0" orientation="landscape" r:id="rId1"/>
  <headerFooter alignWithMargins="0">
    <oddHeader>&amp;C&amp;14I</oddHeader>
    <oddFooter>&amp;LPMv3.0.4&amp;R&amp;P / &amp;N</oddFooter>
  </headerFooter>
  <colBreaks count="1" manualBreakCount="1">
    <brk id="2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aixaArredQuant">
              <controlPr defaultSize="0" print="0" autoFill="0" autoLine="0" autoPict="0">
                <anchor moveWithCells="1" sizeWithCells="1">
                  <from>
                    <xdr:col>19</xdr:col>
                    <xdr:colOff>457200</xdr:colOff>
                    <xdr:row>9</xdr:row>
                    <xdr:rowOff>123825</xdr:rowOff>
                  </from>
                  <to>
                    <xdr:col>19</xdr:col>
                    <xdr:colOff>895350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aixaArredCustoUnit">
              <controlPr defaultSize="0" print="0" autoFill="0" autoLine="0" autoPict="0">
                <anchor moveWithCells="1" sizeWithCells="1">
                  <from>
                    <xdr:col>20</xdr:col>
                    <xdr:colOff>447675</xdr:colOff>
                    <xdr:row>9</xdr:row>
                    <xdr:rowOff>123825</xdr:rowOff>
                  </from>
                  <to>
                    <xdr:col>20</xdr:col>
                    <xdr:colOff>876300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aixaArredBDI">
              <controlPr defaultSize="0" print="0" autoFill="0" autoLine="0" autoPict="0">
                <anchor moveWithCells="1" sizeWithCells="1">
                  <from>
                    <xdr:col>21</xdr:col>
                    <xdr:colOff>285750</xdr:colOff>
                    <xdr:row>9</xdr:row>
                    <xdr:rowOff>123825</xdr:rowOff>
                  </from>
                  <to>
                    <xdr:col>21</xdr:col>
                    <xdr:colOff>704850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aixaArredPrecoUnit">
              <controlPr defaultSize="0" print="0" autoFill="0" autoLine="0" autoPict="0">
                <anchor moveWithCells="1" sizeWithCells="1">
                  <from>
                    <xdr:col>22</xdr:col>
                    <xdr:colOff>361950</xdr:colOff>
                    <xdr:row>9</xdr:row>
                    <xdr:rowOff>123825</xdr:rowOff>
                  </from>
                  <to>
                    <xdr:col>22</xdr:col>
                    <xdr:colOff>790575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aixaArredPrecoTotal">
              <controlPr defaultSize="0" print="0" autoFill="0" autoLine="0" autoPict="0">
                <anchor moveWithCells="1" sizeWithCells="1">
                  <from>
                    <xdr:col>23</xdr:col>
                    <xdr:colOff>447675</xdr:colOff>
                    <xdr:row>9</xdr:row>
                    <xdr:rowOff>104775</xdr:rowOff>
                  </from>
                  <to>
                    <xdr:col>23</xdr:col>
                    <xdr:colOff>876300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topLeftCell="C11" zoomScaleNormal="100" workbookViewId="0">
      <selection activeCell="S45" sqref="S45"/>
    </sheetView>
  </sheetViews>
  <sheetFormatPr defaultRowHeight="12.75" x14ac:dyDescent="0.2"/>
  <cols>
    <col min="1" max="1" width="7.28515625" customWidth="1"/>
    <col min="2" max="2" width="39.5703125" style="9" customWidth="1"/>
    <col min="3" max="3" width="6.85546875" customWidth="1"/>
    <col min="4" max="4" width="11.28515625" style="99" bestFit="1" customWidth="1"/>
    <col min="5" max="6" width="12.5703125" bestFit="1" customWidth="1"/>
    <col min="7" max="8" width="12" bestFit="1" customWidth="1"/>
    <col min="9" max="11" width="11.28515625" bestFit="1" customWidth="1"/>
  </cols>
  <sheetData>
    <row r="1" spans="1:11" ht="19.5" x14ac:dyDescent="0.3">
      <c r="A1" s="136" t="s">
        <v>267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3" spans="1:11" x14ac:dyDescent="0.2">
      <c r="B3" s="137" t="s">
        <v>266</v>
      </c>
      <c r="C3" s="137"/>
      <c r="D3" s="137"/>
      <c r="E3" s="137"/>
    </row>
    <row r="5" spans="1:11" x14ac:dyDescent="0.2">
      <c r="A5" s="141" t="s">
        <v>46</v>
      </c>
      <c r="B5" s="143" t="s">
        <v>49</v>
      </c>
      <c r="C5" s="143"/>
      <c r="D5" s="142" t="s">
        <v>234</v>
      </c>
      <c r="E5" s="141" t="s">
        <v>235</v>
      </c>
      <c r="F5" s="114">
        <v>1</v>
      </c>
      <c r="G5" s="114">
        <v>2</v>
      </c>
      <c r="H5" s="114">
        <v>3</v>
      </c>
      <c r="I5" s="114">
        <v>4</v>
      </c>
      <c r="J5" s="114">
        <v>5</v>
      </c>
      <c r="K5" s="114">
        <v>6</v>
      </c>
    </row>
    <row r="6" spans="1:11" x14ac:dyDescent="0.2">
      <c r="A6" s="141"/>
      <c r="B6" s="143"/>
      <c r="C6" s="143"/>
      <c r="D6" s="142"/>
      <c r="E6" s="141"/>
      <c r="F6" s="115">
        <v>44958</v>
      </c>
      <c r="G6" s="115">
        <v>44986</v>
      </c>
      <c r="H6" s="115">
        <v>45017</v>
      </c>
      <c r="I6" s="115">
        <v>45047</v>
      </c>
      <c r="J6" s="115">
        <v>45078</v>
      </c>
      <c r="K6" s="115">
        <v>45108</v>
      </c>
    </row>
    <row r="7" spans="1:11" ht="12" customHeight="1" x14ac:dyDescent="0.2">
      <c r="A7" s="144" t="s">
        <v>233</v>
      </c>
      <c r="B7" s="146" t="s">
        <v>66</v>
      </c>
      <c r="C7" s="147"/>
      <c r="D7" s="101">
        <v>920939.10762942105</v>
      </c>
      <c r="E7" s="105" t="s">
        <v>236</v>
      </c>
      <c r="F7" s="107">
        <v>0.14070052900295027</v>
      </c>
      <c r="G7" s="107">
        <v>0.14745361368400184</v>
      </c>
      <c r="H7" s="107">
        <v>9.7417278503367524E-2</v>
      </c>
      <c r="I7" s="107">
        <v>6.1932190714471473E-2</v>
      </c>
      <c r="J7" s="107">
        <v>0.24851620951192671</v>
      </c>
      <c r="K7" s="107">
        <v>0.30398017858328225</v>
      </c>
    </row>
    <row r="8" spans="1:11" ht="5.25" customHeight="1" x14ac:dyDescent="0.2">
      <c r="A8" s="145"/>
      <c r="B8" s="148"/>
      <c r="C8" s="149"/>
      <c r="D8" s="101"/>
      <c r="E8" s="105"/>
      <c r="F8" s="108"/>
      <c r="G8" s="108"/>
      <c r="H8" s="108"/>
      <c r="I8" s="108"/>
      <c r="J8" s="108"/>
      <c r="K8" s="108"/>
    </row>
    <row r="9" spans="1:11" x14ac:dyDescent="0.2">
      <c r="A9" s="144" t="s">
        <v>237</v>
      </c>
      <c r="B9" s="146" t="s">
        <v>68</v>
      </c>
      <c r="C9" s="147"/>
      <c r="D9" s="101">
        <v>333091.67562753003</v>
      </c>
      <c r="E9" s="105" t="s">
        <v>236</v>
      </c>
      <c r="F9" s="107">
        <v>6.1074827923555007E-3</v>
      </c>
      <c r="G9" s="107">
        <v>0</v>
      </c>
      <c r="H9" s="107">
        <v>3.5873483469012882E-2</v>
      </c>
      <c r="I9" s="107">
        <v>2.9052057990512553E-2</v>
      </c>
      <c r="J9" s="107">
        <v>0.36778387432782456</v>
      </c>
      <c r="K9" s="107">
        <v>0.56118310142029437</v>
      </c>
    </row>
    <row r="10" spans="1:11" ht="5.25" customHeight="1" x14ac:dyDescent="0.2">
      <c r="A10" s="145"/>
      <c r="B10" s="148"/>
      <c r="C10" s="149"/>
      <c r="D10" s="101"/>
      <c r="E10" s="105"/>
      <c r="F10" s="108"/>
      <c r="G10" s="108"/>
      <c r="H10" s="108"/>
      <c r="I10" s="108"/>
      <c r="J10" s="108"/>
      <c r="K10" s="108"/>
    </row>
    <row r="11" spans="1:11" x14ac:dyDescent="0.2">
      <c r="A11" s="144" t="s">
        <v>238</v>
      </c>
      <c r="B11" s="146" t="s">
        <v>69</v>
      </c>
      <c r="C11" s="147"/>
      <c r="D11" s="101">
        <v>20343.516771719998</v>
      </c>
      <c r="E11" s="105" t="s">
        <v>236</v>
      </c>
      <c r="F11" s="109">
        <v>0.1</v>
      </c>
      <c r="G11" s="111"/>
      <c r="H11" s="111">
        <v>0.5</v>
      </c>
      <c r="I11" s="111">
        <v>0.4</v>
      </c>
      <c r="J11" s="111"/>
      <c r="K11" s="111"/>
    </row>
    <row r="12" spans="1:11" ht="7.5" customHeight="1" x14ac:dyDescent="0.2">
      <c r="A12" s="145"/>
      <c r="B12" s="148"/>
      <c r="C12" s="149"/>
      <c r="D12" s="101"/>
      <c r="E12" s="105"/>
      <c r="F12" s="110"/>
      <c r="G12" s="110"/>
      <c r="H12" s="110"/>
      <c r="I12" s="110"/>
      <c r="J12" s="110"/>
      <c r="K12" s="110"/>
    </row>
    <row r="13" spans="1:11" x14ac:dyDescent="0.2">
      <c r="A13" s="144" t="s">
        <v>239</v>
      </c>
      <c r="B13" s="146" t="s">
        <v>91</v>
      </c>
      <c r="C13" s="147"/>
      <c r="D13" s="101">
        <v>218003.60985199999</v>
      </c>
      <c r="E13" s="105" t="s">
        <v>236</v>
      </c>
      <c r="F13" s="111"/>
      <c r="G13" s="111"/>
      <c r="H13" s="111"/>
      <c r="I13" s="111"/>
      <c r="J13" s="111">
        <v>0.5</v>
      </c>
      <c r="K13" s="111">
        <v>0.5</v>
      </c>
    </row>
    <row r="14" spans="1:11" ht="5.25" customHeight="1" x14ac:dyDescent="0.2">
      <c r="A14" s="145"/>
      <c r="B14" s="148"/>
      <c r="C14" s="149"/>
      <c r="D14" s="101"/>
      <c r="E14" s="105"/>
      <c r="F14" s="110"/>
      <c r="G14" s="110"/>
      <c r="H14" s="110"/>
      <c r="I14" s="110"/>
      <c r="J14" s="110"/>
      <c r="K14" s="110"/>
    </row>
    <row r="15" spans="1:11" x14ac:dyDescent="0.2">
      <c r="A15" s="144" t="s">
        <v>240</v>
      </c>
      <c r="B15" s="146" t="s">
        <v>97</v>
      </c>
      <c r="C15" s="147"/>
      <c r="D15" s="101">
        <v>1777.40033343</v>
      </c>
      <c r="E15" s="105" t="s">
        <v>236</v>
      </c>
      <c r="F15" s="111"/>
      <c r="G15" s="111"/>
      <c r="H15" s="111">
        <v>1</v>
      </c>
      <c r="I15" s="111"/>
      <c r="J15" s="111"/>
      <c r="K15" s="111"/>
    </row>
    <row r="16" spans="1:11" ht="6.75" customHeight="1" x14ac:dyDescent="0.2">
      <c r="A16" s="145"/>
      <c r="B16" s="148"/>
      <c r="C16" s="149"/>
      <c r="D16" s="101"/>
      <c r="E16" s="105"/>
      <c r="F16" s="110"/>
      <c r="G16" s="110"/>
      <c r="H16" s="110"/>
      <c r="I16" s="110"/>
      <c r="J16" s="110"/>
      <c r="K16" s="110"/>
    </row>
    <row r="17" spans="1:11" x14ac:dyDescent="0.2">
      <c r="A17" s="144" t="s">
        <v>241</v>
      </c>
      <c r="B17" s="146" t="s">
        <v>100</v>
      </c>
      <c r="C17" s="147"/>
      <c r="D17" s="101">
        <v>1539.5919678</v>
      </c>
      <c r="E17" s="105" t="s">
        <v>236</v>
      </c>
      <c r="F17" s="111"/>
      <c r="G17" s="111"/>
      <c r="H17" s="111"/>
      <c r="I17" s="111">
        <v>1</v>
      </c>
      <c r="J17" s="111"/>
      <c r="K17" s="111"/>
    </row>
    <row r="18" spans="1:11" ht="6.75" customHeight="1" x14ac:dyDescent="0.2">
      <c r="A18" s="145"/>
      <c r="B18" s="148"/>
      <c r="C18" s="149"/>
      <c r="D18" s="101"/>
      <c r="E18" s="105"/>
      <c r="F18" s="110"/>
      <c r="G18" s="110"/>
      <c r="H18" s="110"/>
      <c r="I18" s="110"/>
      <c r="J18" s="110"/>
      <c r="K18" s="110"/>
    </row>
    <row r="19" spans="1:11" x14ac:dyDescent="0.2">
      <c r="A19" s="144" t="s">
        <v>242</v>
      </c>
      <c r="B19" s="146" t="s">
        <v>103</v>
      </c>
      <c r="C19" s="147"/>
      <c r="D19" s="101">
        <v>64419.672617299999</v>
      </c>
      <c r="E19" s="105" t="s">
        <v>236</v>
      </c>
      <c r="F19" s="111"/>
      <c r="G19" s="111"/>
      <c r="H19" s="111"/>
      <c r="I19" s="111"/>
      <c r="J19" s="111"/>
      <c r="K19" s="111">
        <v>1</v>
      </c>
    </row>
    <row r="20" spans="1:11" ht="6" customHeight="1" x14ac:dyDescent="0.2">
      <c r="A20" s="145"/>
      <c r="B20" s="148"/>
      <c r="C20" s="149"/>
      <c r="D20" s="101"/>
      <c r="E20" s="105"/>
      <c r="F20" s="110"/>
      <c r="G20" s="110"/>
      <c r="H20" s="110"/>
      <c r="I20" s="110"/>
      <c r="J20" s="110"/>
      <c r="K20" s="110"/>
    </row>
    <row r="21" spans="1:11" x14ac:dyDescent="0.2">
      <c r="A21" s="144" t="s">
        <v>243</v>
      </c>
      <c r="B21" s="154" t="s">
        <v>110</v>
      </c>
      <c r="C21" s="155"/>
      <c r="D21" s="101">
        <v>1572.3091496699999</v>
      </c>
      <c r="E21" s="105" t="s">
        <v>236</v>
      </c>
      <c r="F21" s="111"/>
      <c r="G21" s="111"/>
      <c r="H21" s="111"/>
      <c r="I21" s="111"/>
      <c r="J21" s="111">
        <v>0.5</v>
      </c>
      <c r="K21" s="111">
        <v>0.5</v>
      </c>
    </row>
    <row r="22" spans="1:11" ht="6.75" customHeight="1" x14ac:dyDescent="0.2">
      <c r="A22" s="145"/>
      <c r="B22" s="156"/>
      <c r="C22" s="157"/>
      <c r="D22" s="101"/>
      <c r="E22" s="105"/>
      <c r="F22" s="110"/>
      <c r="G22" s="110"/>
      <c r="H22" s="110"/>
      <c r="I22" s="110"/>
      <c r="J22" s="110"/>
      <c r="K22" s="110"/>
    </row>
    <row r="23" spans="1:11" x14ac:dyDescent="0.2">
      <c r="A23" s="144" t="s">
        <v>244</v>
      </c>
      <c r="B23" s="154" t="s">
        <v>112</v>
      </c>
      <c r="C23" s="155"/>
      <c r="D23" s="101">
        <v>25435.574935609999</v>
      </c>
      <c r="E23" s="105" t="s">
        <v>236</v>
      </c>
      <c r="F23" s="111"/>
      <c r="G23" s="111"/>
      <c r="H23" s="111"/>
      <c r="I23" s="111"/>
      <c r="J23" s="111">
        <v>0.5</v>
      </c>
      <c r="K23" s="111">
        <v>0.5</v>
      </c>
    </row>
    <row r="24" spans="1:11" ht="6" customHeight="1" x14ac:dyDescent="0.2">
      <c r="A24" s="145"/>
      <c r="B24" s="156"/>
      <c r="C24" s="157"/>
      <c r="D24" s="101"/>
      <c r="E24" s="105"/>
      <c r="F24" s="110"/>
      <c r="G24" s="110"/>
      <c r="H24" s="110"/>
      <c r="I24" s="110"/>
      <c r="J24" s="110"/>
      <c r="K24" s="110"/>
    </row>
    <row r="25" spans="1:11" x14ac:dyDescent="0.2">
      <c r="A25" s="144" t="s">
        <v>245</v>
      </c>
      <c r="B25" s="154" t="s">
        <v>119</v>
      </c>
      <c r="C25" s="155"/>
      <c r="D25" s="101">
        <v>587847.43200189096</v>
      </c>
      <c r="E25" s="105" t="s">
        <v>236</v>
      </c>
      <c r="F25" s="107">
        <v>0.21696491470831539</v>
      </c>
      <c r="G25" s="107">
        <v>0.23100517585052785</v>
      </c>
      <c r="H25" s="107">
        <v>0.13228980612955696</v>
      </c>
      <c r="I25" s="107">
        <v>8.0563042713913111E-2</v>
      </c>
      <c r="J25" s="107">
        <v>0.1809356364601383</v>
      </c>
      <c r="K25" s="107">
        <v>0.15824142413754863</v>
      </c>
    </row>
    <row r="26" spans="1:11" ht="6.75" customHeight="1" x14ac:dyDescent="0.2">
      <c r="A26" s="145"/>
      <c r="B26" s="156"/>
      <c r="C26" s="157"/>
      <c r="D26" s="101"/>
      <c r="E26" s="105"/>
      <c r="F26" s="110"/>
      <c r="G26" s="110"/>
      <c r="H26" s="110"/>
      <c r="I26" s="110"/>
      <c r="J26" s="110"/>
      <c r="K26" s="110"/>
    </row>
    <row r="27" spans="1:11" x14ac:dyDescent="0.2">
      <c r="A27" s="144" t="s">
        <v>246</v>
      </c>
      <c r="B27" s="146" t="s">
        <v>120</v>
      </c>
      <c r="C27" s="147"/>
      <c r="D27" s="101">
        <v>22405.328469569999</v>
      </c>
      <c r="E27" s="105" t="s">
        <v>236</v>
      </c>
      <c r="F27" s="111">
        <v>0.5</v>
      </c>
      <c r="G27" s="111">
        <v>0.5</v>
      </c>
      <c r="H27" s="111"/>
      <c r="I27" s="111"/>
      <c r="J27" s="111"/>
      <c r="K27" s="111"/>
    </row>
    <row r="28" spans="1:11" ht="8.25" customHeight="1" x14ac:dyDescent="0.2">
      <c r="A28" s="145"/>
      <c r="B28" s="148"/>
      <c r="C28" s="149"/>
      <c r="D28" s="101"/>
      <c r="E28" s="105"/>
      <c r="F28" s="112"/>
      <c r="G28" s="112"/>
      <c r="H28" s="110"/>
      <c r="I28" s="110"/>
      <c r="J28" s="110"/>
      <c r="K28" s="110"/>
    </row>
    <row r="29" spans="1:11" ht="17.25" customHeight="1" x14ac:dyDescent="0.2">
      <c r="A29" s="144" t="s">
        <v>247</v>
      </c>
      <c r="B29" s="150" t="s">
        <v>138</v>
      </c>
      <c r="C29" s="151"/>
      <c r="D29" s="101">
        <v>140747.845</v>
      </c>
      <c r="E29" s="105" t="s">
        <v>236</v>
      </c>
      <c r="F29" s="111">
        <v>0.7</v>
      </c>
      <c r="G29" s="111">
        <v>0.3</v>
      </c>
      <c r="H29" s="111"/>
      <c r="I29" s="111"/>
      <c r="J29" s="111"/>
      <c r="K29" s="111"/>
    </row>
    <row r="30" spans="1:11" ht="7.5" customHeight="1" x14ac:dyDescent="0.2">
      <c r="A30" s="145"/>
      <c r="B30" s="152"/>
      <c r="C30" s="153"/>
      <c r="D30" s="101"/>
      <c r="E30" s="105"/>
      <c r="F30" s="110"/>
      <c r="G30" s="110"/>
      <c r="H30" s="110"/>
      <c r="I30" s="110"/>
      <c r="J30" s="110"/>
      <c r="K30" s="110"/>
    </row>
    <row r="31" spans="1:11" x14ac:dyDescent="0.2">
      <c r="A31" s="144" t="s">
        <v>248</v>
      </c>
      <c r="B31" s="146" t="s">
        <v>140</v>
      </c>
      <c r="C31" s="147"/>
      <c r="D31" s="101">
        <v>83737.255917609902</v>
      </c>
      <c r="E31" s="105" t="s">
        <v>236</v>
      </c>
      <c r="F31" s="111">
        <v>0</v>
      </c>
      <c r="G31" s="111">
        <v>0.5</v>
      </c>
      <c r="H31" s="111">
        <v>0.25</v>
      </c>
      <c r="I31" s="111">
        <v>0.25</v>
      </c>
      <c r="J31" s="111"/>
      <c r="K31" s="111"/>
    </row>
    <row r="32" spans="1:11" ht="6.75" customHeight="1" x14ac:dyDescent="0.2">
      <c r="A32" s="145"/>
      <c r="B32" s="148"/>
      <c r="C32" s="149"/>
      <c r="D32" s="101"/>
      <c r="E32" s="105"/>
      <c r="F32" s="110"/>
      <c r="G32" s="110"/>
      <c r="H32" s="110"/>
      <c r="I32" s="110"/>
      <c r="J32" s="110"/>
      <c r="K32" s="110"/>
    </row>
    <row r="33" spans="1:11" x14ac:dyDescent="0.2">
      <c r="A33" s="144" t="s">
        <v>249</v>
      </c>
      <c r="B33" s="146" t="s">
        <v>110</v>
      </c>
      <c r="C33" s="147"/>
      <c r="D33" s="101">
        <v>67691.996576179998</v>
      </c>
      <c r="E33" s="105" t="s">
        <v>236</v>
      </c>
      <c r="F33" s="111"/>
      <c r="G33" s="111"/>
      <c r="H33" s="111"/>
      <c r="I33" s="111"/>
      <c r="J33" s="111">
        <v>0.5</v>
      </c>
      <c r="K33" s="111">
        <v>0.5</v>
      </c>
    </row>
    <row r="34" spans="1:11" ht="5.25" customHeight="1" x14ac:dyDescent="0.2">
      <c r="A34" s="145"/>
      <c r="B34" s="148"/>
      <c r="C34" s="149"/>
      <c r="D34" s="101"/>
      <c r="E34" s="105"/>
      <c r="F34" s="110"/>
      <c r="G34" s="110"/>
      <c r="H34" s="110"/>
      <c r="I34" s="110"/>
      <c r="J34" s="110"/>
      <c r="K34" s="110"/>
    </row>
    <row r="35" spans="1:11" x14ac:dyDescent="0.2">
      <c r="A35" s="144" t="s">
        <v>250</v>
      </c>
      <c r="B35" s="146" t="s">
        <v>150</v>
      </c>
      <c r="C35" s="147"/>
      <c r="D35" s="101">
        <v>71264.448844030005</v>
      </c>
      <c r="E35" s="105" t="s">
        <v>236</v>
      </c>
      <c r="F35" s="111">
        <v>0.25</v>
      </c>
      <c r="G35" s="111">
        <v>0.25</v>
      </c>
      <c r="H35" s="111">
        <v>0.5</v>
      </c>
      <c r="I35" s="111"/>
      <c r="J35" s="111"/>
      <c r="K35" s="111"/>
    </row>
    <row r="36" spans="1:11" ht="6.75" customHeight="1" x14ac:dyDescent="0.2">
      <c r="A36" s="145"/>
      <c r="B36" s="148"/>
      <c r="C36" s="149"/>
      <c r="D36" s="101"/>
      <c r="E36" s="105"/>
      <c r="F36" s="110"/>
      <c r="G36" s="110"/>
      <c r="H36" s="110"/>
      <c r="I36" s="110"/>
      <c r="J36" s="110"/>
      <c r="K36" s="110"/>
    </row>
    <row r="37" spans="1:11" x14ac:dyDescent="0.2">
      <c r="A37" s="144" t="s">
        <v>251</v>
      </c>
      <c r="B37" s="146" t="s">
        <v>160</v>
      </c>
      <c r="C37" s="147"/>
      <c r="D37" s="101">
        <v>35348.414857000003</v>
      </c>
      <c r="E37" s="105" t="s">
        <v>236</v>
      </c>
      <c r="F37" s="111"/>
      <c r="G37" s="111">
        <v>0.25</v>
      </c>
      <c r="H37" s="111">
        <v>0.25</v>
      </c>
      <c r="I37" s="111">
        <v>0.25</v>
      </c>
      <c r="J37" s="111">
        <v>0.25</v>
      </c>
      <c r="K37" s="111"/>
    </row>
    <row r="38" spans="1:11" ht="6.75" customHeight="1" x14ac:dyDescent="0.2">
      <c r="A38" s="145"/>
      <c r="B38" s="148"/>
      <c r="C38" s="149"/>
      <c r="D38" s="101"/>
      <c r="E38" s="105"/>
      <c r="F38" s="110"/>
      <c r="G38" s="110"/>
      <c r="H38" s="110"/>
      <c r="I38" s="110"/>
      <c r="J38" s="110"/>
      <c r="K38" s="110"/>
    </row>
    <row r="39" spans="1:11" x14ac:dyDescent="0.2">
      <c r="A39" s="144" t="s">
        <v>252</v>
      </c>
      <c r="B39" s="146" t="s">
        <v>180</v>
      </c>
      <c r="C39" s="147"/>
      <c r="D39" s="101">
        <v>17213.685124399999</v>
      </c>
      <c r="E39" s="105" t="s">
        <v>236</v>
      </c>
      <c r="F39" s="111"/>
      <c r="G39" s="111"/>
      <c r="H39" s="111"/>
      <c r="I39" s="111">
        <v>0.5</v>
      </c>
      <c r="J39" s="111">
        <v>0.5</v>
      </c>
      <c r="K39" s="111"/>
    </row>
    <row r="40" spans="1:11" ht="8.25" customHeight="1" x14ac:dyDescent="0.2">
      <c r="A40" s="145"/>
      <c r="B40" s="148"/>
      <c r="C40" s="149"/>
      <c r="D40" s="101"/>
      <c r="E40" s="105"/>
      <c r="F40" s="110"/>
      <c r="G40" s="110"/>
      <c r="H40" s="110"/>
      <c r="I40" s="110"/>
      <c r="J40" s="110"/>
      <c r="K40" s="110"/>
    </row>
    <row r="41" spans="1:11" x14ac:dyDescent="0.2">
      <c r="A41" s="144" t="s">
        <v>261</v>
      </c>
      <c r="B41" s="146" t="s">
        <v>195</v>
      </c>
      <c r="C41" s="147"/>
      <c r="D41" s="101">
        <v>16575.4954038</v>
      </c>
      <c r="E41" s="105" t="s">
        <v>236</v>
      </c>
      <c r="F41" s="111"/>
      <c r="G41" s="111">
        <v>0.2</v>
      </c>
      <c r="H41" s="111">
        <v>0.1</v>
      </c>
      <c r="I41" s="111">
        <v>0.5</v>
      </c>
      <c r="J41" s="111">
        <v>0.1</v>
      </c>
      <c r="K41" s="111">
        <v>0.1</v>
      </c>
    </row>
    <row r="42" spans="1:11" ht="5.25" customHeight="1" x14ac:dyDescent="0.2">
      <c r="A42" s="145"/>
      <c r="B42" s="148"/>
      <c r="C42" s="149"/>
      <c r="D42" s="101"/>
      <c r="E42" s="105"/>
      <c r="F42" s="110"/>
      <c r="G42" s="110"/>
      <c r="H42" s="110"/>
      <c r="I42" s="110"/>
      <c r="J42" s="110"/>
      <c r="K42" s="110"/>
    </row>
    <row r="43" spans="1:11" x14ac:dyDescent="0.2">
      <c r="A43" s="144" t="s">
        <v>262</v>
      </c>
      <c r="B43" s="146" t="s">
        <v>214</v>
      </c>
      <c r="C43" s="147"/>
      <c r="D43" s="101">
        <v>21063.677406541199</v>
      </c>
      <c r="E43" s="105" t="s">
        <v>236</v>
      </c>
      <c r="F43" s="111"/>
      <c r="G43" s="111">
        <v>0.5</v>
      </c>
      <c r="H43" s="111">
        <v>0.5</v>
      </c>
      <c r="I43" s="111"/>
      <c r="J43" s="111"/>
      <c r="K43" s="111"/>
    </row>
    <row r="44" spans="1:11" ht="6.75" customHeight="1" x14ac:dyDescent="0.2">
      <c r="A44" s="145"/>
      <c r="B44" s="148"/>
      <c r="C44" s="149"/>
      <c r="D44" s="101"/>
      <c r="E44" s="105"/>
      <c r="F44" s="110"/>
      <c r="G44" s="110"/>
      <c r="H44" s="110"/>
      <c r="I44" s="110"/>
      <c r="J44" s="110"/>
      <c r="K44" s="110"/>
    </row>
    <row r="45" spans="1:11" x14ac:dyDescent="0.2">
      <c r="A45" s="144" t="s">
        <v>263</v>
      </c>
      <c r="B45" s="146" t="s">
        <v>217</v>
      </c>
      <c r="C45" s="147"/>
      <c r="D45" s="101">
        <v>98510.386855010001</v>
      </c>
      <c r="E45" s="105" t="s">
        <v>236</v>
      </c>
      <c r="F45" s="111"/>
      <c r="G45" s="111"/>
      <c r="H45" s="111"/>
      <c r="I45" s="111"/>
      <c r="J45" s="111">
        <v>0.5</v>
      </c>
      <c r="K45" s="111">
        <v>0.5</v>
      </c>
    </row>
    <row r="46" spans="1:11" ht="6" customHeight="1" x14ac:dyDescent="0.2">
      <c r="A46" s="145"/>
      <c r="B46" s="148"/>
      <c r="C46" s="149"/>
      <c r="D46" s="101"/>
      <c r="E46" s="105"/>
      <c r="F46" s="110"/>
      <c r="G46" s="110"/>
      <c r="H46" s="110"/>
      <c r="I46" s="110"/>
      <c r="J46" s="110"/>
      <c r="K46" s="110"/>
    </row>
    <row r="47" spans="1:11" x14ac:dyDescent="0.2">
      <c r="A47" s="144" t="s">
        <v>264</v>
      </c>
      <c r="B47" s="146" t="s">
        <v>100</v>
      </c>
      <c r="C47" s="147"/>
      <c r="D47" s="101">
        <v>1731.9245397</v>
      </c>
      <c r="E47" s="105" t="s">
        <v>236</v>
      </c>
      <c r="F47" s="111"/>
      <c r="G47" s="111"/>
      <c r="H47" s="111">
        <v>0.1</v>
      </c>
      <c r="I47" s="111">
        <v>0.4</v>
      </c>
      <c r="J47" s="111">
        <v>0.4</v>
      </c>
      <c r="K47" s="111">
        <v>0.1</v>
      </c>
    </row>
    <row r="48" spans="1:11" ht="6" customHeight="1" x14ac:dyDescent="0.2">
      <c r="A48" s="145"/>
      <c r="B48" s="148"/>
      <c r="C48" s="149"/>
      <c r="D48" s="101"/>
      <c r="E48" s="105"/>
      <c r="F48" s="110"/>
      <c r="G48" s="110"/>
      <c r="H48" s="110"/>
      <c r="I48" s="110"/>
      <c r="J48" s="110"/>
      <c r="K48" s="110"/>
    </row>
    <row r="49" spans="1:11" x14ac:dyDescent="0.2">
      <c r="A49" s="144" t="s">
        <v>265</v>
      </c>
      <c r="B49" s="146" t="s">
        <v>112</v>
      </c>
      <c r="C49" s="147"/>
      <c r="D49" s="101">
        <v>11556.973008049999</v>
      </c>
      <c r="E49" s="105" t="s">
        <v>236</v>
      </c>
      <c r="F49" s="111"/>
      <c r="G49" s="111"/>
      <c r="H49" s="111"/>
      <c r="I49" s="111"/>
      <c r="J49" s="111">
        <v>0.3</v>
      </c>
      <c r="K49" s="111">
        <v>0.7</v>
      </c>
    </row>
    <row r="50" spans="1:11" ht="6" customHeight="1" x14ac:dyDescent="0.2">
      <c r="A50" s="145"/>
      <c r="B50" s="148"/>
      <c r="C50" s="149"/>
      <c r="D50" s="101"/>
      <c r="E50" s="105"/>
      <c r="F50" s="110"/>
      <c r="G50" s="110"/>
      <c r="H50" s="110"/>
      <c r="I50" s="110"/>
      <c r="J50" s="110"/>
      <c r="K50" s="110"/>
    </row>
    <row r="52" spans="1:11" x14ac:dyDescent="0.2">
      <c r="A52" s="138" t="s">
        <v>253</v>
      </c>
      <c r="B52" s="139"/>
      <c r="C52" s="140" t="s">
        <v>254</v>
      </c>
      <c r="D52" s="140"/>
      <c r="E52" s="113" t="s">
        <v>256</v>
      </c>
      <c r="F52" s="102">
        <v>0.14070052941235356</v>
      </c>
      <c r="G52" s="102">
        <v>0.14745361433238557</v>
      </c>
      <c r="H52" s="102">
        <v>9.741727683922051E-2</v>
      </c>
      <c r="I52" s="102">
        <v>6.1932194569101484E-2</v>
      </c>
      <c r="J52" s="102">
        <v>0.24851620275864633</v>
      </c>
      <c r="K52" s="102">
        <v>0.30398018466238125</v>
      </c>
    </row>
    <row r="53" spans="1:11" x14ac:dyDescent="0.2">
      <c r="C53" s="140"/>
      <c r="D53" s="140"/>
      <c r="E53" s="116" t="s">
        <v>257</v>
      </c>
      <c r="F53" s="117">
        <v>129576.62</v>
      </c>
      <c r="G53" s="117">
        <v>135795.79999999999</v>
      </c>
      <c r="H53" s="117">
        <v>89715.38</v>
      </c>
      <c r="I53" s="117">
        <v>57035.780000000028</v>
      </c>
      <c r="J53" s="117">
        <v>228868.28999999998</v>
      </c>
      <c r="K53" s="117">
        <v>279947.24</v>
      </c>
    </row>
    <row r="54" spans="1:11" x14ac:dyDescent="0.2">
      <c r="C54" s="140"/>
      <c r="D54" s="140"/>
      <c r="E54" s="106" t="s">
        <v>258</v>
      </c>
      <c r="F54" s="100"/>
      <c r="G54" s="100"/>
      <c r="H54" s="100"/>
      <c r="I54" s="100"/>
      <c r="J54" s="100"/>
      <c r="K54" s="100"/>
    </row>
    <row r="55" spans="1:11" x14ac:dyDescent="0.2">
      <c r="C55" s="140"/>
      <c r="D55" s="140"/>
      <c r="E55" s="106" t="s">
        <v>259</v>
      </c>
      <c r="F55" s="100"/>
      <c r="G55" s="100"/>
      <c r="H55" s="100"/>
      <c r="I55" s="100"/>
      <c r="J55" s="100"/>
      <c r="K55" s="100"/>
    </row>
    <row r="56" spans="1:11" x14ac:dyDescent="0.2">
      <c r="C56" s="140"/>
      <c r="D56" s="140"/>
      <c r="E56" s="117" t="s">
        <v>260</v>
      </c>
      <c r="F56" s="117">
        <v>129576.62</v>
      </c>
      <c r="G56" s="117">
        <v>135795.79999999999</v>
      </c>
      <c r="H56" s="117">
        <v>89715.38</v>
      </c>
      <c r="I56" s="117">
        <v>57035.780000000028</v>
      </c>
      <c r="J56" s="117">
        <v>228868.28999999998</v>
      </c>
      <c r="K56" s="117">
        <v>279947.24</v>
      </c>
    </row>
    <row r="57" spans="1:11" x14ac:dyDescent="0.2">
      <c r="C57" s="140" t="s">
        <v>255</v>
      </c>
      <c r="D57" s="140"/>
      <c r="E57" s="104" t="s">
        <v>256</v>
      </c>
      <c r="F57" s="102">
        <v>0.14070052941235356</v>
      </c>
      <c r="G57" s="102">
        <v>0.28815414374473913</v>
      </c>
      <c r="H57" s="102">
        <v>0.38557142058395966</v>
      </c>
      <c r="I57" s="102">
        <v>0.44750361515306114</v>
      </c>
      <c r="J57" s="102">
        <v>0.69601981791170742</v>
      </c>
      <c r="K57" s="103">
        <v>1.0000000025740887</v>
      </c>
    </row>
    <row r="58" spans="1:11" x14ac:dyDescent="0.2">
      <c r="C58" s="140"/>
      <c r="D58" s="140"/>
      <c r="E58" s="118" t="s">
        <v>257</v>
      </c>
      <c r="F58" s="117">
        <v>129576.62</v>
      </c>
      <c r="G58" s="117">
        <v>265372.42</v>
      </c>
      <c r="H58" s="117">
        <v>355087.8</v>
      </c>
      <c r="I58" s="117">
        <v>412123.58</v>
      </c>
      <c r="J58" s="117">
        <v>640991.87</v>
      </c>
      <c r="K58" s="117">
        <v>920939.11</v>
      </c>
    </row>
    <row r="59" spans="1:11" x14ac:dyDescent="0.2">
      <c r="C59" s="140"/>
      <c r="D59" s="140"/>
      <c r="E59" s="100" t="s">
        <v>258</v>
      </c>
      <c r="F59" s="100"/>
      <c r="G59" s="100"/>
      <c r="H59" s="100"/>
      <c r="I59" s="100"/>
      <c r="J59" s="100"/>
      <c r="K59" s="100"/>
    </row>
    <row r="60" spans="1:11" x14ac:dyDescent="0.2">
      <c r="C60" s="140"/>
      <c r="D60" s="140"/>
      <c r="E60" s="100" t="s">
        <v>259</v>
      </c>
      <c r="F60" s="100"/>
      <c r="G60" s="100"/>
      <c r="H60" s="100"/>
      <c r="I60" s="100"/>
      <c r="J60" s="100"/>
      <c r="K60" s="100"/>
    </row>
    <row r="61" spans="1:11" x14ac:dyDescent="0.2">
      <c r="C61" s="140"/>
      <c r="D61" s="140"/>
      <c r="E61" s="118" t="s">
        <v>260</v>
      </c>
      <c r="F61" s="117">
        <v>129576.6196229645</v>
      </c>
      <c r="G61" s="117">
        <v>265372.41902584257</v>
      </c>
      <c r="H61" s="117">
        <v>355087.80055842065</v>
      </c>
      <c r="I61" s="117">
        <v>412123.57700854115</v>
      </c>
      <c r="J61" s="117">
        <v>640991.87322790117</v>
      </c>
      <c r="K61" s="117">
        <v>920939.10762942117</v>
      </c>
    </row>
  </sheetData>
  <mergeCells count="53">
    <mergeCell ref="B9:C10"/>
    <mergeCell ref="B29:C30"/>
    <mergeCell ref="B31:C32"/>
    <mergeCell ref="B33:C34"/>
    <mergeCell ref="B35:C36"/>
    <mergeCell ref="B21:C22"/>
    <mergeCell ref="B23:C24"/>
    <mergeCell ref="B25:C26"/>
    <mergeCell ref="B27:C28"/>
    <mergeCell ref="B11:C12"/>
    <mergeCell ref="B13:C14"/>
    <mergeCell ref="B15:C16"/>
    <mergeCell ref="B17:C18"/>
    <mergeCell ref="B19:C20"/>
    <mergeCell ref="B49:C50"/>
    <mergeCell ref="B7:C8"/>
    <mergeCell ref="A7:A8"/>
    <mergeCell ref="A9:A10"/>
    <mergeCell ref="A11:A12"/>
    <mergeCell ref="A13:A14"/>
    <mergeCell ref="A15:A16"/>
    <mergeCell ref="A17:A18"/>
    <mergeCell ref="A19:A20"/>
    <mergeCell ref="A21:A22"/>
    <mergeCell ref="B37:C38"/>
    <mergeCell ref="B39:C40"/>
    <mergeCell ref="B41:C42"/>
    <mergeCell ref="B43:C44"/>
    <mergeCell ref="B45:C46"/>
    <mergeCell ref="B47:C48"/>
    <mergeCell ref="A45:A46"/>
    <mergeCell ref="A23:A24"/>
    <mergeCell ref="A25:A26"/>
    <mergeCell ref="A27:A28"/>
    <mergeCell ref="A29:A30"/>
    <mergeCell ref="A31:A32"/>
    <mergeCell ref="A33:A34"/>
    <mergeCell ref="A1:K1"/>
    <mergeCell ref="B3:E3"/>
    <mergeCell ref="A52:B52"/>
    <mergeCell ref="C57:D61"/>
    <mergeCell ref="E5:E6"/>
    <mergeCell ref="D5:D6"/>
    <mergeCell ref="B5:C6"/>
    <mergeCell ref="A5:A6"/>
    <mergeCell ref="A47:A48"/>
    <mergeCell ref="A49:A50"/>
    <mergeCell ref="C52:D56"/>
    <mergeCell ref="A35:A36"/>
    <mergeCell ref="A37:A38"/>
    <mergeCell ref="A39:A40"/>
    <mergeCell ref="A41:A42"/>
    <mergeCell ref="A43:A44"/>
  </mergeCells>
  <pageMargins left="0.51181102362204722" right="0.51181102362204722" top="0.78740157480314965" bottom="0.78740157480314965" header="0.31496062992125984" footer="0.31496062992125984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ORÇAMENTO</vt:lpstr>
      <vt:lpstr>PLANILHA A LICITAR</vt:lpstr>
      <vt:lpstr>Planilha3</vt:lpstr>
      <vt:lpstr>ORÇAMENTO!Area_de_impressao</vt:lpstr>
      <vt:lpstr>'PLANILHA A LICITAR'!Area_de_impressao</vt:lpstr>
      <vt:lpstr>ORÇAMENTO!Titulos_de_impressao</vt:lpstr>
      <vt:lpstr>'PLANILHA A LICITAR'!Titulos_de_impressao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Cliente</cp:lastModifiedBy>
  <cp:lastPrinted>2023-02-02T17:42:19Z</cp:lastPrinted>
  <dcterms:created xsi:type="dcterms:W3CDTF">2023-02-02T13:55:14Z</dcterms:created>
  <dcterms:modified xsi:type="dcterms:W3CDTF">2023-02-06T13:05:12Z</dcterms:modified>
</cp:coreProperties>
</file>